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0" windowWidth="11355" windowHeight="5640" activeTab="0"/>
  </bookViews>
  <sheets>
    <sheet name="ИБР " sheetId="1" r:id="rId1"/>
  </sheets>
  <definedNames>
    <definedName name="_xlnm.Print_Area" localSheetId="0">'ИБР '!$A$1:$Z$29</definedName>
  </definedNames>
  <calcPr fullCalcOnLoad="1"/>
</workbook>
</file>

<file path=xl/sharedStrings.xml><?xml version="1.0" encoding="utf-8"?>
<sst xmlns="http://schemas.openxmlformats.org/spreadsheetml/2006/main" count="81" uniqueCount="77">
  <si>
    <t>Муниципальное образование</t>
  </si>
  <si>
    <t>Коэффициент заработной платы</t>
  </si>
  <si>
    <t>Коэффициент коммунальных услуг</t>
  </si>
  <si>
    <t>Коэффициент уровня цен</t>
  </si>
  <si>
    <t>ИБР</t>
  </si>
  <si>
    <t>Районный коэффициент к заработной плате</t>
  </si>
  <si>
    <t>Северная надбавка к зарплате в районах Кр. Севера и приравненных к ним местностях</t>
  </si>
  <si>
    <t>Доля сельского населения</t>
  </si>
  <si>
    <t>Средневзвешанный коэффициент к заработной плате</t>
  </si>
  <si>
    <t>коэффициент масштаба</t>
  </si>
  <si>
    <t>коэффициент урбанизации</t>
  </si>
  <si>
    <t>Средневзвешенный коэффициент цен</t>
  </si>
  <si>
    <t>Коэффициент цен</t>
  </si>
  <si>
    <t>№ столбца</t>
  </si>
  <si>
    <t>1</t>
  </si>
  <si>
    <t>2</t>
  </si>
  <si>
    <t>3</t>
  </si>
  <si>
    <t>4</t>
  </si>
  <si>
    <t>5</t>
  </si>
  <si>
    <t>7</t>
  </si>
  <si>
    <t>ИТОГО</t>
  </si>
  <si>
    <t>dзп</t>
  </si>
  <si>
    <t>dжку</t>
  </si>
  <si>
    <t>dц</t>
  </si>
  <si>
    <t>Березницкое МО</t>
  </si>
  <si>
    <t>Бестужевское МО</t>
  </si>
  <si>
    <t>Дмитриевское МО</t>
  </si>
  <si>
    <t>Илезское МО</t>
  </si>
  <si>
    <t>Киземское МО</t>
  </si>
  <si>
    <t>Лихачевское МО</t>
  </si>
  <si>
    <t>Лойгинское МО</t>
  </si>
  <si>
    <t>Малодорское МО</t>
  </si>
  <si>
    <t>Октябрьское МО</t>
  </si>
  <si>
    <t>Орловское МО</t>
  </si>
  <si>
    <t>Плосское МО</t>
  </si>
  <si>
    <t>Ростовско-Минское МО</t>
  </si>
  <si>
    <t>Синицкое МО</t>
  </si>
  <si>
    <t>Строевское МО</t>
  </si>
  <si>
    <t>Череновское МО</t>
  </si>
  <si>
    <t>Шангальское МО</t>
  </si>
  <si>
    <t>средняя численность населения МР</t>
  </si>
  <si>
    <t>в том числе оплата коммунальных услуг</t>
  </si>
  <si>
    <t xml:space="preserve">Всего расходов </t>
  </si>
  <si>
    <t>коэффициент количества населенных пунктов</t>
  </si>
  <si>
    <t>количество населенных пунктов в j-м поселении</t>
  </si>
  <si>
    <t>5а</t>
  </si>
  <si>
    <t>8</t>
  </si>
  <si>
    <t>9=3/1</t>
  </si>
  <si>
    <t>11=10/итого10</t>
  </si>
  <si>
    <t>КОЭФФИЦИЕНТ ПРЕДОСТАВЛЕНИЯ КОММУНАЛЬНЫХ УСЛУГ БЮДЖЕТНЫМ УЧРЕЖДЕНИЯМ В J-М ПОСЕЛЕНИИ</t>
  </si>
  <si>
    <t>5Б=(1+5а/5)/(1+ИТОГО 5А/ИТОГО5)</t>
  </si>
  <si>
    <t xml:space="preserve">                Коэффициент коммунальных услуг</t>
  </si>
  <si>
    <t>6=((4/итого4)+5Б))/2</t>
  </si>
  <si>
    <t>12=0,9+0,1*сред1/1</t>
  </si>
  <si>
    <t>14=(1+14а/итого14а)</t>
  </si>
  <si>
    <t>14а</t>
  </si>
  <si>
    <t>16=15/итого15</t>
  </si>
  <si>
    <t>17</t>
  </si>
  <si>
    <t>18</t>
  </si>
  <si>
    <t>19</t>
  </si>
  <si>
    <t>20=17*d1+18*d2+19*d3</t>
  </si>
  <si>
    <t xml:space="preserve">ИБР на 2016 год </t>
  </si>
  <si>
    <t>удельный вес для сельских поселений</t>
  </si>
  <si>
    <t>удельный вес для городских поселений</t>
  </si>
  <si>
    <t xml:space="preserve">Расчет индексов бюджетных расходов бюджетов поселений Устьянского муниципального района для распределения дотаций на выравнивание бюджетной обеспеченности  на 2017 год </t>
  </si>
  <si>
    <t>Численность постоянного населения на 01.01.2016 г. чел.,</t>
  </si>
  <si>
    <t>Численность городского населения на 01.01.2016г.чел.,</t>
  </si>
  <si>
    <t>Численность сельского населения на 01.01.2016г. чел.,</t>
  </si>
  <si>
    <t>Проект регионального стандарта стоимости предоставления ЖКУ населению на 1 кв.м общей площади жилья в месяц на 2017 год</t>
  </si>
  <si>
    <t xml:space="preserve">Плановые расходы j-го поселения на 01.10.2016года </t>
  </si>
  <si>
    <t xml:space="preserve">ИБР на 2017 год </t>
  </si>
  <si>
    <t>сравнение (2017/2016)</t>
  </si>
  <si>
    <r>
      <t>10=((</t>
    </r>
    <r>
      <rPr>
        <i/>
        <sz val="14"/>
        <rFont val="Times New Roman"/>
        <family val="1"/>
      </rPr>
      <t>1</t>
    </r>
    <r>
      <rPr>
        <b/>
        <sz val="14"/>
        <rFont val="Times New Roman"/>
        <family val="1"/>
      </rPr>
      <t>-9)*(7+8) +9*(7+8+</t>
    </r>
    <r>
      <rPr>
        <b/>
        <i/>
        <sz val="14"/>
        <rFont val="Times New Roman"/>
        <family val="1"/>
      </rPr>
      <t>0,25</t>
    </r>
    <r>
      <rPr>
        <b/>
        <sz val="14"/>
        <rFont val="Times New Roman"/>
        <family val="1"/>
      </rPr>
      <t>))</t>
    </r>
  </si>
  <si>
    <r>
      <t>13=(</t>
    </r>
    <r>
      <rPr>
        <i/>
        <sz val="14"/>
        <rFont val="Times New Roman"/>
        <family val="1"/>
      </rPr>
      <t>1</t>
    </r>
    <r>
      <rPr>
        <b/>
        <sz val="14"/>
        <rFont val="Times New Roman"/>
        <family val="1"/>
      </rPr>
      <t>+2/1)/(1+итого2/итого1)</t>
    </r>
  </si>
  <si>
    <r>
      <t>15=13*(</t>
    </r>
    <r>
      <rPr>
        <b/>
        <i/>
        <sz val="14"/>
        <rFont val="Times New Roman"/>
        <family val="1"/>
      </rPr>
      <t>0,33</t>
    </r>
    <r>
      <rPr>
        <b/>
        <sz val="14"/>
        <rFont val="Times New Roman"/>
        <family val="1"/>
      </rPr>
      <t>*14+</t>
    </r>
    <r>
      <rPr>
        <b/>
        <i/>
        <sz val="14"/>
        <rFont val="Times New Roman"/>
        <family val="1"/>
      </rPr>
      <t>0,33</t>
    </r>
    <r>
      <rPr>
        <b/>
        <sz val="14"/>
        <rFont val="Times New Roman"/>
        <family val="1"/>
      </rPr>
      <t>*15+0,33*16)</t>
    </r>
  </si>
  <si>
    <t xml:space="preserve">Приложение №2 </t>
  </si>
  <si>
    <t>к расчету дотации на выравнивание бюджетной обеспеченности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</si>
</sst>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"/>
    <numFmt numFmtId="166" formatCode="0.0%"/>
    <numFmt numFmtId="167" formatCode="0.000000"/>
    <numFmt numFmtId="168" formatCode="_-* #,##0.0_р_._-;\-* #,##0.0_р_._-;_-* &quot;-&quot;?_р_._-;_-@_-"/>
    <numFmt numFmtId="169" formatCode="#,##0.000"/>
    <numFmt numFmtId="170" formatCode="_-* #,##0.00_р_._-;\-* #,##0.00_р_._-;_-* &quot;-&quot;?_р_._-;_-@_-"/>
    <numFmt numFmtId="171" formatCode="_-* #,##0.0_р_._-;\-* #,##0.0_р_._-;_-* &quot;-&quot;??_р_._-;_-@_-"/>
    <numFmt numFmtId="172" formatCode="_-* #,##0.000_р_._-;\-* #,##0.000_р_._-;_-* &quot;-&quot;??_р_._-;_-@_-"/>
    <numFmt numFmtId="173" formatCode="_-* #,##0_р_._-;\-* #,##0_р_._-;_-* &quot;-&quot;??_р_._-;_-@_-"/>
    <numFmt numFmtId="174" formatCode="_-* #,##0.000_р_._-;\-* #,##0.000_р_._-;_-* &quot;-&quot;???_р_._-;_-@_-"/>
    <numFmt numFmtId="175" formatCode="_-* #,##0.00_р_._-;\-* #,##0.00_р_._-;_-* &quot;-&quot;???_р_._-;_-@_-"/>
    <numFmt numFmtId="176" formatCode="_-* #,##0.0_р_._-;\-* #,##0.0_р_._-;_-* &quot;-&quot;???_р_._-;_-@_-"/>
    <numFmt numFmtId="177" formatCode="_-* #,##0_р_._-;\-* #,##0_р_._-;_-* &quot;-&quot;???_р_._-;_-@_-"/>
    <numFmt numFmtId="178" formatCode="#,##0.0_ ;[Red]\-#,##0.0\ "/>
    <numFmt numFmtId="179" formatCode="_-* #,##0.0000_р_._-;\-* #,##0.0000_р_._-;_-* &quot;-&quot;?_р_._-;_-@_-"/>
    <numFmt numFmtId="180" formatCode="0.00000"/>
    <numFmt numFmtId="181" formatCode="0.0000"/>
    <numFmt numFmtId="182" formatCode="0.0"/>
    <numFmt numFmtId="183" formatCode="_-* #,##0.0000_р_._-;\-* #,##0.0000_р_._-;_-* &quot;-&quot;??_р_._-;_-@_-"/>
    <numFmt numFmtId="184" formatCode="0.000000000"/>
    <numFmt numFmtId="185" formatCode="0.0000000000"/>
    <numFmt numFmtId="186" formatCode="0.00000000"/>
    <numFmt numFmtId="187" formatCode="0.0000000"/>
    <numFmt numFmtId="188" formatCode="_-* #,##0.00000_р_._-;\-* #,##0.00000_р_._-;_-* &quot;-&quot;??_р_._-;_-@_-"/>
    <numFmt numFmtId="189" formatCode="0.0000%"/>
    <numFmt numFmtId="190" formatCode="_-* #,##0_р_._-;\-* #,##0_р_._-;_-* &quot;-&quot;?_р_._-;_-@_-"/>
    <numFmt numFmtId="191" formatCode="0.000%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00"/>
    <numFmt numFmtId="197" formatCode="#,##0.0_ ;\-#,##0.0\ "/>
    <numFmt numFmtId="198" formatCode="_(* #,##0.0_);_(* \(#,##0.0\);_(* &quot;-&quot;??_);_(@_)"/>
    <numFmt numFmtId="199" formatCode="#,##0.00_ ;\-#,##0.00\ "/>
    <numFmt numFmtId="200" formatCode="_(* #,##0.00_);_(* \(#,##0.00\);_(* &quot;-&quot;??_);_(@_)"/>
    <numFmt numFmtId="201" formatCode="#,##0.00000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sz val="18"/>
      <name val="Arial Cyr"/>
      <family val="0"/>
    </font>
    <font>
      <sz val="18"/>
      <name val="Times New Roman"/>
      <family val="1"/>
    </font>
    <font>
      <i/>
      <sz val="18"/>
      <name val="Times New Roman"/>
      <family val="1"/>
    </font>
    <font>
      <sz val="16"/>
      <name val="Arial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i/>
      <sz val="1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10" fillId="0" borderId="1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/>
    </xf>
    <xf numFmtId="164" fontId="4" fillId="0" borderId="12" xfId="0" applyNumberFormat="1" applyFont="1" applyFill="1" applyBorder="1" applyAlignment="1">
      <alignment horizontal="right" vertical="center"/>
    </xf>
    <xf numFmtId="164" fontId="4" fillId="0" borderId="11" xfId="0" applyNumberFormat="1" applyFont="1" applyFill="1" applyBorder="1" applyAlignment="1">
      <alignment horizontal="right" vertical="center"/>
    </xf>
    <xf numFmtId="1" fontId="11" fillId="0" borderId="13" xfId="0" applyNumberFormat="1" applyFont="1" applyFill="1" applyBorder="1" applyAlignment="1">
      <alignment horizontal="center" vertical="center" wrapText="1"/>
    </xf>
    <xf numFmtId="2" fontId="11" fillId="0" borderId="14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1" fontId="13" fillId="0" borderId="12" xfId="60" applyNumberFormat="1" applyFont="1" applyFill="1" applyBorder="1" applyAlignment="1">
      <alignment horizontal="right" vertical="center" wrapText="1"/>
    </xf>
    <xf numFmtId="173" fontId="13" fillId="0" borderId="12" xfId="60" applyNumberFormat="1" applyFont="1" applyFill="1" applyBorder="1" applyAlignment="1">
      <alignment horizontal="right" vertical="center" wrapText="1"/>
    </xf>
    <xf numFmtId="172" fontId="13" fillId="0" borderId="12" xfId="60" applyNumberFormat="1" applyFont="1" applyFill="1" applyBorder="1" applyAlignment="1">
      <alignment horizontal="right" vertical="center" wrapText="1"/>
    </xf>
    <xf numFmtId="164" fontId="13" fillId="0" borderId="12" xfId="0" applyNumberFormat="1" applyFont="1" applyFill="1" applyBorder="1" applyAlignment="1">
      <alignment horizontal="right" vertical="center"/>
    </xf>
    <xf numFmtId="164" fontId="13" fillId="0" borderId="16" xfId="0" applyNumberFormat="1" applyFont="1" applyFill="1" applyBorder="1" applyAlignment="1">
      <alignment horizontal="right" vertical="center"/>
    </xf>
    <xf numFmtId="169" fontId="13" fillId="0" borderId="12" xfId="0" applyNumberFormat="1" applyFont="1" applyFill="1" applyBorder="1" applyAlignment="1">
      <alignment horizontal="right" vertical="center"/>
    </xf>
    <xf numFmtId="169" fontId="4" fillId="0" borderId="12" xfId="0" applyNumberFormat="1" applyFont="1" applyFill="1" applyBorder="1" applyAlignment="1">
      <alignment horizontal="right" vertical="center"/>
    </xf>
    <xf numFmtId="164" fontId="13" fillId="0" borderId="11" xfId="0" applyNumberFormat="1" applyFont="1" applyFill="1" applyBorder="1" applyAlignment="1">
      <alignment horizontal="right" vertical="center"/>
    </xf>
    <xf numFmtId="9" fontId="14" fillId="0" borderId="11" xfId="57" applyFont="1" applyFill="1" applyBorder="1" applyAlignment="1">
      <alignment horizontal="right" vertical="center"/>
    </xf>
    <xf numFmtId="1" fontId="4" fillId="0" borderId="11" xfId="0" applyNumberFormat="1" applyFont="1" applyFill="1" applyBorder="1" applyAlignment="1">
      <alignment horizontal="right" vertical="center" wrapText="1"/>
    </xf>
    <xf numFmtId="173" fontId="4" fillId="0" borderId="11" xfId="0" applyNumberFormat="1" applyFont="1" applyFill="1" applyBorder="1" applyAlignment="1">
      <alignment horizontal="right" vertical="center" wrapText="1"/>
    </xf>
    <xf numFmtId="43" fontId="4" fillId="0" borderId="11" xfId="0" applyNumberFormat="1" applyFont="1" applyFill="1" applyBorder="1" applyAlignment="1">
      <alignment horizontal="right" vertical="center" wrapText="1"/>
    </xf>
    <xf numFmtId="164" fontId="4" fillId="0" borderId="11" xfId="0" applyNumberFormat="1" applyFont="1" applyFill="1" applyBorder="1" applyAlignment="1">
      <alignment horizontal="right" vertical="center" wrapText="1"/>
    </xf>
    <xf numFmtId="169" fontId="4" fillId="0" borderId="11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/>
    </xf>
    <xf numFmtId="1" fontId="13" fillId="0" borderId="12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5" fillId="0" borderId="0" xfId="0" applyFont="1" applyFill="1" applyAlignment="1">
      <alignment vertical="top"/>
    </xf>
    <xf numFmtId="43" fontId="13" fillId="0" borderId="12" xfId="6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wrapText="1"/>
    </xf>
    <xf numFmtId="1" fontId="1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49" fontId="16" fillId="0" borderId="11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/>
    </xf>
    <xf numFmtId="3" fontId="7" fillId="0" borderId="13" xfId="0" applyNumberFormat="1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0" fontId="1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0" fontId="17" fillId="0" borderId="11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19" xfId="0" applyFont="1" applyFill="1" applyBorder="1" applyAlignment="1">
      <alignment/>
    </xf>
    <xf numFmtId="0" fontId="7" fillId="0" borderId="19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left"/>
    </xf>
    <xf numFmtId="0" fontId="17" fillId="0" borderId="19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 wrapText="1"/>
    </xf>
    <xf numFmtId="169" fontId="7" fillId="0" borderId="19" xfId="0" applyNumberFormat="1" applyFont="1" applyFill="1" applyBorder="1" applyAlignment="1">
      <alignment horizontal="right" vertical="center" wrapText="1"/>
    </xf>
    <xf numFmtId="0" fontId="17" fillId="0" borderId="21" xfId="0" applyFont="1" applyFill="1" applyBorder="1" applyAlignment="1">
      <alignment/>
    </xf>
    <xf numFmtId="0" fontId="7" fillId="0" borderId="21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left"/>
    </xf>
    <xf numFmtId="0" fontId="17" fillId="0" borderId="21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 vertical="center" wrapText="1"/>
    </xf>
    <xf numFmtId="169" fontId="7" fillId="0" borderId="21" xfId="0" applyNumberFormat="1" applyFont="1" applyFill="1" applyBorder="1" applyAlignment="1">
      <alignment horizontal="right" vertical="center" wrapText="1"/>
    </xf>
    <xf numFmtId="0" fontId="17" fillId="0" borderId="17" xfId="0" applyFont="1" applyFill="1" applyBorder="1" applyAlignment="1">
      <alignment/>
    </xf>
    <xf numFmtId="2" fontId="11" fillId="0" borderId="14" xfId="0" applyNumberFormat="1" applyFont="1" applyFill="1" applyBorder="1" applyAlignment="1">
      <alignment wrapText="1"/>
    </xf>
    <xf numFmtId="0" fontId="7" fillId="0" borderId="2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/>
    </xf>
    <xf numFmtId="0" fontId="1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165" fontId="7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vertical="center" wrapText="1"/>
    </xf>
    <xf numFmtId="173" fontId="18" fillId="0" borderId="12" xfId="60" applyNumberFormat="1" applyFont="1" applyFill="1" applyBorder="1" applyAlignment="1">
      <alignment horizontal="right" vertical="center" wrapText="1"/>
    </xf>
    <xf numFmtId="4" fontId="11" fillId="0" borderId="14" xfId="0" applyNumberFormat="1" applyFont="1" applyFill="1" applyBorder="1" applyAlignment="1">
      <alignment horizontal="center"/>
    </xf>
    <xf numFmtId="4" fontId="11" fillId="0" borderId="17" xfId="0" applyNumberFormat="1" applyFont="1" applyFill="1" applyBorder="1" applyAlignment="1">
      <alignment horizontal="center"/>
    </xf>
    <xf numFmtId="2" fontId="11" fillId="0" borderId="17" xfId="0" applyNumberFormat="1" applyFont="1" applyFill="1" applyBorder="1" applyAlignment="1">
      <alignment horizontal="center"/>
    </xf>
    <xf numFmtId="49" fontId="19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8" xfId="0" applyFont="1" applyFill="1" applyBorder="1" applyAlignment="1">
      <alignment wrapText="1"/>
    </xf>
    <xf numFmtId="0" fontId="3" fillId="0" borderId="28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3" fillId="0" borderId="17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165" fontId="7" fillId="0" borderId="30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31" xfId="0" applyFont="1" applyFill="1" applyBorder="1" applyAlignment="1">
      <alignment wrapText="1"/>
    </xf>
    <xf numFmtId="0" fontId="3" fillId="0" borderId="29" xfId="0" applyFont="1" applyFill="1" applyBorder="1" applyAlignment="1">
      <alignment wrapText="1"/>
    </xf>
    <xf numFmtId="0" fontId="3" fillId="0" borderId="24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0</xdr:rowOff>
    </xdr:from>
    <xdr:to>
      <xdr:col>15</xdr:col>
      <xdr:colOff>1200150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1431250" y="228600"/>
          <a:ext cx="1200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средневзвешенное
</a:t>
          </a:r>
        </a:p>
      </xdr:txBody>
    </xdr:sp>
    <xdr:clientData/>
  </xdr:twoCellAnchor>
  <xdr:twoCellAnchor>
    <xdr:from>
      <xdr:col>18</xdr:col>
      <xdr:colOff>1171575</xdr:colOff>
      <xdr:row>1</xdr:row>
      <xdr:rowOff>0</xdr:rowOff>
    </xdr:from>
    <xdr:to>
      <xdr:col>20</xdr:col>
      <xdr:colOff>876300</xdr:colOff>
      <xdr:row>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6203275" y="228600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среднее</a:t>
          </a:r>
        </a:p>
      </xdr:txBody>
    </xdr:sp>
    <xdr:clientData/>
  </xdr:twoCellAnchor>
  <xdr:twoCellAnchor>
    <xdr:from>
      <xdr:col>24</xdr:col>
      <xdr:colOff>0</xdr:colOff>
      <xdr:row>1</xdr:row>
      <xdr:rowOff>0</xdr:rowOff>
    </xdr:from>
    <xdr:to>
      <xdr:col>24</xdr:col>
      <xdr:colOff>0</xdr:colOff>
      <xdr:row>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1994475" y="228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средневзвешенное</a:t>
          </a:r>
        </a:p>
      </xdr:txBody>
    </xdr:sp>
    <xdr:clientData/>
  </xdr:twoCellAnchor>
  <xdr:twoCellAnchor>
    <xdr:from>
      <xdr:col>10</xdr:col>
      <xdr:colOff>28575</xdr:colOff>
      <xdr:row>1</xdr:row>
      <xdr:rowOff>0</xdr:rowOff>
    </xdr:from>
    <xdr:to>
      <xdr:col>11</xdr:col>
      <xdr:colOff>200025</xdr:colOff>
      <xdr:row>1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5259050" y="228600"/>
          <a:ext cx="1304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средневзвешенное</a:t>
          </a:r>
        </a:p>
      </xdr:txBody>
    </xdr:sp>
    <xdr:clientData/>
  </xdr:twoCellAnchor>
  <xdr:twoCellAnchor>
    <xdr:from>
      <xdr:col>12</xdr:col>
      <xdr:colOff>9525</xdr:colOff>
      <xdr:row>28</xdr:row>
      <xdr:rowOff>104775</xdr:rowOff>
    </xdr:from>
    <xdr:to>
      <xdr:col>12</xdr:col>
      <xdr:colOff>1266825</xdr:colOff>
      <xdr:row>28</xdr:row>
      <xdr:rowOff>447675</xdr:rowOff>
    </xdr:to>
    <xdr:sp>
      <xdr:nvSpPr>
        <xdr:cNvPr id="5" name="Rectangle 5"/>
        <xdr:cNvSpPr>
          <a:spLocks/>
        </xdr:cNvSpPr>
      </xdr:nvSpPr>
      <xdr:spPr>
        <a:xfrm>
          <a:off x="17506950" y="14258925"/>
          <a:ext cx="12477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средневзвешенное
</a:t>
          </a:r>
        </a:p>
      </xdr:txBody>
    </xdr:sp>
    <xdr:clientData/>
  </xdr:twoCellAnchor>
  <xdr:twoCellAnchor>
    <xdr:from>
      <xdr:col>18</xdr:col>
      <xdr:colOff>438150</xdr:colOff>
      <xdr:row>28</xdr:row>
      <xdr:rowOff>161925</xdr:rowOff>
    </xdr:from>
    <xdr:to>
      <xdr:col>19</xdr:col>
      <xdr:colOff>47625</xdr:colOff>
      <xdr:row>28</xdr:row>
      <xdr:rowOff>466725</xdr:rowOff>
    </xdr:to>
    <xdr:sp>
      <xdr:nvSpPr>
        <xdr:cNvPr id="6" name="Rectangle 6"/>
        <xdr:cNvSpPr>
          <a:spLocks/>
        </xdr:cNvSpPr>
      </xdr:nvSpPr>
      <xdr:spPr>
        <a:xfrm>
          <a:off x="25469850" y="14316075"/>
          <a:ext cx="7810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средневзвешенное</a:t>
          </a:r>
        </a:p>
      </xdr:txBody>
    </xdr:sp>
    <xdr:clientData/>
  </xdr:twoCellAnchor>
  <xdr:twoCellAnchor>
    <xdr:from>
      <xdr:col>4</xdr:col>
      <xdr:colOff>0</xdr:colOff>
      <xdr:row>28</xdr:row>
      <xdr:rowOff>114300</xdr:rowOff>
    </xdr:from>
    <xdr:to>
      <xdr:col>8</xdr:col>
      <xdr:colOff>0</xdr:colOff>
      <xdr:row>28</xdr:row>
      <xdr:rowOff>457200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6562725" y="14268450"/>
          <a:ext cx="61531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средневзвешенное</a:t>
          </a:r>
        </a:p>
      </xdr:txBody>
    </xdr:sp>
    <xdr:clientData/>
  </xdr:twoCellAnchor>
  <xdr:twoCellAnchor>
    <xdr:from>
      <xdr:col>9</xdr:col>
      <xdr:colOff>0</xdr:colOff>
      <xdr:row>28</xdr:row>
      <xdr:rowOff>104775</xdr:rowOff>
    </xdr:from>
    <xdr:to>
      <xdr:col>9</xdr:col>
      <xdr:colOff>514350</xdr:colOff>
      <xdr:row>28</xdr:row>
      <xdr:rowOff>447675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4239875" y="14258925"/>
          <a:ext cx="5143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средневзвешенное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9"/>
  <sheetViews>
    <sheetView tabSelected="1" view="pageBreakPreview" zoomScale="60" workbookViewId="0" topLeftCell="A13">
      <selection activeCell="A31" sqref="A31"/>
    </sheetView>
  </sheetViews>
  <sheetFormatPr defaultColWidth="9.00390625" defaultRowHeight="12.75"/>
  <cols>
    <col min="1" max="1" width="23.25390625" style="1" customWidth="1"/>
    <col min="2" max="2" width="22.125" style="1" customWidth="1"/>
    <col min="3" max="3" width="20.625" style="1" customWidth="1"/>
    <col min="4" max="4" width="20.125" style="1" customWidth="1"/>
    <col min="5" max="5" width="18.125" style="1" customWidth="1"/>
    <col min="6" max="6" width="22.625" style="1" customWidth="1"/>
    <col min="7" max="9" width="20.00390625" style="1" customWidth="1"/>
    <col min="10" max="10" width="13.00390625" style="2" customWidth="1"/>
    <col min="11" max="12" width="14.875" style="1" customWidth="1"/>
    <col min="13" max="13" width="18.00390625" style="3" customWidth="1"/>
    <col min="14" max="14" width="19.00390625" style="2" customWidth="1"/>
    <col min="15" max="15" width="14.625" style="4" customWidth="1"/>
    <col min="16" max="18" width="15.75390625" style="4" customWidth="1"/>
    <col min="19" max="19" width="15.375" style="4" customWidth="1"/>
    <col min="20" max="20" width="14.625" style="5" customWidth="1"/>
    <col min="21" max="22" width="15.75390625" style="2" customWidth="1"/>
    <col min="23" max="23" width="14.00390625" style="2" customWidth="1"/>
    <col min="24" max="24" width="15.875" style="1" customWidth="1"/>
    <col min="25" max="25" width="12.75390625" style="1" customWidth="1"/>
    <col min="26" max="26" width="13.00390625" style="1" customWidth="1"/>
    <col min="27" max="16384" width="9.125" style="1" customWidth="1"/>
  </cols>
  <sheetData>
    <row r="1" spans="23:24" ht="18" customHeight="1">
      <c r="W1" s="105" t="s">
        <v>75</v>
      </c>
      <c r="X1" s="106"/>
    </row>
    <row r="2" spans="1:26" ht="36" customHeight="1">
      <c r="A2" s="35"/>
      <c r="B2" s="35"/>
      <c r="C2" s="35"/>
      <c r="D2" s="35"/>
      <c r="E2" s="35"/>
      <c r="F2" s="35"/>
      <c r="G2" s="35"/>
      <c r="H2" s="35"/>
      <c r="I2" s="35"/>
      <c r="J2" s="36"/>
      <c r="K2" s="35"/>
      <c r="L2" s="35"/>
      <c r="M2" s="37"/>
      <c r="N2" s="36"/>
      <c r="O2" s="38"/>
      <c r="P2" s="38"/>
      <c r="Q2" s="38"/>
      <c r="R2" s="38"/>
      <c r="S2" s="38"/>
      <c r="T2" s="39"/>
      <c r="U2" s="36"/>
      <c r="V2" s="40"/>
      <c r="W2" s="105" t="s">
        <v>76</v>
      </c>
      <c r="X2" s="106"/>
      <c r="Y2" s="35"/>
      <c r="Z2" s="35"/>
    </row>
    <row r="3" spans="1:26" ht="28.5" customHeight="1">
      <c r="A3" s="107" t="s">
        <v>64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6"/>
      <c r="Z3" s="16"/>
    </row>
    <row r="4" spans="1:26" ht="19.5" customHeight="1">
      <c r="A4" s="6"/>
      <c r="B4" s="6"/>
      <c r="C4" s="17"/>
      <c r="D4" s="17"/>
      <c r="E4" s="17"/>
      <c r="F4" s="17"/>
      <c r="G4" s="17"/>
      <c r="H4" s="17"/>
      <c r="I4" s="17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6"/>
      <c r="Z4" s="16"/>
    </row>
    <row r="5" spans="1:26" ht="19.5" customHeight="1">
      <c r="A5" s="101" t="s">
        <v>0</v>
      </c>
      <c r="B5" s="111" t="s">
        <v>65</v>
      </c>
      <c r="C5" s="111" t="s">
        <v>66</v>
      </c>
      <c r="D5" s="111" t="s">
        <v>67</v>
      </c>
      <c r="E5" s="114" t="s">
        <v>51</v>
      </c>
      <c r="F5" s="94"/>
      <c r="G5" s="94"/>
      <c r="H5" s="94"/>
      <c r="I5" s="115"/>
      <c r="J5" s="88" t="s">
        <v>1</v>
      </c>
      <c r="K5" s="89"/>
      <c r="L5" s="89"/>
      <c r="M5" s="89"/>
      <c r="N5" s="116"/>
      <c r="O5" s="88" t="s">
        <v>3</v>
      </c>
      <c r="P5" s="89"/>
      <c r="Q5" s="89"/>
      <c r="R5" s="89"/>
      <c r="S5" s="89"/>
      <c r="T5" s="90"/>
      <c r="U5" s="76"/>
      <c r="V5" s="94"/>
      <c r="W5" s="95"/>
      <c r="X5" s="95"/>
      <c r="Y5" s="95"/>
      <c r="Z5" s="96"/>
    </row>
    <row r="6" spans="1:26" s="7" customFormat="1" ht="32.25" customHeight="1">
      <c r="A6" s="109"/>
      <c r="B6" s="109"/>
      <c r="C6" s="112"/>
      <c r="D6" s="112"/>
      <c r="E6" s="97" t="s">
        <v>68</v>
      </c>
      <c r="F6" s="88" t="s">
        <v>69</v>
      </c>
      <c r="G6" s="99"/>
      <c r="H6" s="100"/>
      <c r="I6" s="101" t="s">
        <v>2</v>
      </c>
      <c r="J6" s="91"/>
      <c r="K6" s="92"/>
      <c r="L6" s="92"/>
      <c r="M6" s="92"/>
      <c r="N6" s="92"/>
      <c r="O6" s="91"/>
      <c r="P6" s="92"/>
      <c r="Q6" s="92"/>
      <c r="R6" s="92"/>
      <c r="S6" s="92"/>
      <c r="T6" s="93"/>
      <c r="U6" s="103" t="s">
        <v>4</v>
      </c>
      <c r="V6" s="103"/>
      <c r="W6" s="103"/>
      <c r="X6" s="104"/>
      <c r="Y6" s="77"/>
      <c r="Z6" s="77"/>
    </row>
    <row r="7" spans="1:26" s="7" customFormat="1" ht="178.5" customHeight="1">
      <c r="A7" s="110"/>
      <c r="B7" s="110"/>
      <c r="C7" s="113"/>
      <c r="D7" s="113"/>
      <c r="E7" s="98"/>
      <c r="F7" s="78" t="s">
        <v>42</v>
      </c>
      <c r="G7" s="78" t="s">
        <v>41</v>
      </c>
      <c r="H7" s="78" t="s">
        <v>49</v>
      </c>
      <c r="I7" s="102"/>
      <c r="J7" s="78" t="s">
        <v>5</v>
      </c>
      <c r="K7" s="78" t="s">
        <v>6</v>
      </c>
      <c r="L7" s="75" t="s">
        <v>7</v>
      </c>
      <c r="M7" s="79" t="s">
        <v>8</v>
      </c>
      <c r="N7" s="78" t="s">
        <v>1</v>
      </c>
      <c r="O7" s="78" t="s">
        <v>9</v>
      </c>
      <c r="P7" s="78" t="s">
        <v>10</v>
      </c>
      <c r="Q7" s="78" t="s">
        <v>43</v>
      </c>
      <c r="R7" s="78" t="s">
        <v>44</v>
      </c>
      <c r="S7" s="79" t="s">
        <v>11</v>
      </c>
      <c r="T7" s="78" t="s">
        <v>12</v>
      </c>
      <c r="U7" s="80" t="s">
        <v>1</v>
      </c>
      <c r="V7" s="80" t="s">
        <v>2</v>
      </c>
      <c r="W7" s="80" t="s">
        <v>12</v>
      </c>
      <c r="X7" s="78" t="s">
        <v>70</v>
      </c>
      <c r="Y7" s="79" t="s">
        <v>61</v>
      </c>
      <c r="Z7" s="81" t="s">
        <v>71</v>
      </c>
    </row>
    <row r="8" spans="1:26" s="8" customFormat="1" ht="57.75" customHeight="1">
      <c r="A8" s="48" t="s">
        <v>13</v>
      </c>
      <c r="B8" s="48" t="s">
        <v>14</v>
      </c>
      <c r="C8" s="48" t="s">
        <v>15</v>
      </c>
      <c r="D8" s="48" t="s">
        <v>16</v>
      </c>
      <c r="E8" s="48" t="s">
        <v>17</v>
      </c>
      <c r="F8" s="48" t="s">
        <v>18</v>
      </c>
      <c r="G8" s="48" t="s">
        <v>45</v>
      </c>
      <c r="H8" s="86" t="s">
        <v>50</v>
      </c>
      <c r="I8" s="86" t="s">
        <v>52</v>
      </c>
      <c r="J8" s="48" t="s">
        <v>19</v>
      </c>
      <c r="K8" s="48" t="s">
        <v>46</v>
      </c>
      <c r="L8" s="48" t="s">
        <v>47</v>
      </c>
      <c r="M8" s="87" t="s">
        <v>72</v>
      </c>
      <c r="N8" s="86" t="s">
        <v>48</v>
      </c>
      <c r="O8" s="86" t="s">
        <v>53</v>
      </c>
      <c r="P8" s="86" t="s">
        <v>73</v>
      </c>
      <c r="Q8" s="86" t="s">
        <v>54</v>
      </c>
      <c r="R8" s="48" t="s">
        <v>55</v>
      </c>
      <c r="S8" s="86" t="s">
        <v>74</v>
      </c>
      <c r="T8" s="86" t="s">
        <v>56</v>
      </c>
      <c r="U8" s="48" t="s">
        <v>57</v>
      </c>
      <c r="V8" s="48" t="s">
        <v>58</v>
      </c>
      <c r="W8" s="48" t="s">
        <v>59</v>
      </c>
      <c r="X8" s="86" t="s">
        <v>60</v>
      </c>
      <c r="Y8" s="48"/>
      <c r="Z8" s="48"/>
    </row>
    <row r="9" spans="1:27" ht="15.75">
      <c r="A9" s="49"/>
      <c r="B9" s="50"/>
      <c r="C9" s="50"/>
      <c r="D9" s="50"/>
      <c r="E9" s="50"/>
      <c r="F9" s="50"/>
      <c r="G9" s="50"/>
      <c r="H9" s="50"/>
      <c r="I9" s="50"/>
      <c r="J9" s="51"/>
      <c r="K9" s="51"/>
      <c r="L9" s="52"/>
      <c r="M9" s="53"/>
      <c r="N9" s="54"/>
      <c r="O9" s="55"/>
      <c r="P9" s="55"/>
      <c r="Q9" s="55"/>
      <c r="R9" s="55"/>
      <c r="S9" s="55"/>
      <c r="T9" s="55"/>
      <c r="U9" s="14" t="s">
        <v>21</v>
      </c>
      <c r="V9" s="14" t="s">
        <v>22</v>
      </c>
      <c r="W9" s="14" t="s">
        <v>23</v>
      </c>
      <c r="X9" s="56"/>
      <c r="Y9" s="57"/>
      <c r="Z9" s="57"/>
      <c r="AA9" s="58"/>
    </row>
    <row r="10" spans="1:27" ht="27.75" customHeight="1">
      <c r="A10" s="74" t="s">
        <v>62</v>
      </c>
      <c r="B10" s="59"/>
      <c r="C10" s="59"/>
      <c r="D10" s="59"/>
      <c r="E10" s="59"/>
      <c r="F10" s="59"/>
      <c r="G10" s="59"/>
      <c r="H10" s="59"/>
      <c r="I10" s="59"/>
      <c r="J10" s="60"/>
      <c r="K10" s="60"/>
      <c r="L10" s="61"/>
      <c r="M10" s="62"/>
      <c r="N10" s="63"/>
      <c r="O10" s="64"/>
      <c r="P10" s="64"/>
      <c r="Q10" s="64"/>
      <c r="R10" s="64"/>
      <c r="S10" s="64"/>
      <c r="T10" s="65"/>
      <c r="U10" s="83">
        <v>0.57</v>
      </c>
      <c r="V10" s="15">
        <v>0.13</v>
      </c>
      <c r="W10" s="15">
        <v>0.3</v>
      </c>
      <c r="X10" s="59"/>
      <c r="Y10" s="57"/>
      <c r="Z10" s="57"/>
      <c r="AA10" s="58"/>
    </row>
    <row r="11" spans="1:27" ht="30.75" customHeight="1">
      <c r="A11" s="74" t="s">
        <v>63</v>
      </c>
      <c r="B11" s="66"/>
      <c r="C11" s="66"/>
      <c r="D11" s="66"/>
      <c r="E11" s="66"/>
      <c r="F11" s="66"/>
      <c r="G11" s="66"/>
      <c r="H11" s="66"/>
      <c r="I11" s="66"/>
      <c r="J11" s="67"/>
      <c r="K11" s="67"/>
      <c r="L11" s="68"/>
      <c r="M11" s="69"/>
      <c r="N11" s="70"/>
      <c r="O11" s="71"/>
      <c r="P11" s="71"/>
      <c r="Q11" s="71"/>
      <c r="R11" s="71"/>
      <c r="S11" s="71"/>
      <c r="T11" s="72"/>
      <c r="U11" s="84">
        <v>0.2</v>
      </c>
      <c r="V11" s="85">
        <v>0.08</v>
      </c>
      <c r="W11" s="85">
        <v>0.72</v>
      </c>
      <c r="X11" s="66"/>
      <c r="Y11" s="73"/>
      <c r="Z11" s="57"/>
      <c r="AA11" s="58"/>
    </row>
    <row r="12" spans="1:26" ht="38.25" customHeight="1">
      <c r="A12" s="9" t="s">
        <v>24</v>
      </c>
      <c r="B12" s="19">
        <f>C12+D12</f>
        <v>1413</v>
      </c>
      <c r="C12" s="20"/>
      <c r="D12" s="20">
        <v>1413</v>
      </c>
      <c r="E12" s="41">
        <v>84.11</v>
      </c>
      <c r="F12" s="20">
        <v>2653993</v>
      </c>
      <c r="G12" s="20">
        <v>403014</v>
      </c>
      <c r="H12" s="21">
        <f>(1+G12/F12)/(1+G28/F28)</f>
        <v>1.0437990809339182</v>
      </c>
      <c r="I12" s="12">
        <f>((E12/E28)+H12)/2</f>
        <v>0.8282764478927165</v>
      </c>
      <c r="J12" s="22">
        <v>1.2</v>
      </c>
      <c r="K12" s="22">
        <v>0.5</v>
      </c>
      <c r="L12" s="23">
        <f>D12/B12</f>
        <v>1</v>
      </c>
      <c r="M12" s="24">
        <f aca="true" t="shared" si="0" ref="M12:M27">((1-L12)*(J12+K12)+L12*(J12+K12+0.25))</f>
        <v>1.95</v>
      </c>
      <c r="N12" s="25">
        <f aca="true" t="shared" si="1" ref="N12:N27">M12/$M$28</f>
        <v>1.0448325932412887</v>
      </c>
      <c r="O12" s="22">
        <f aca="true" t="shared" si="2" ref="O12:O27">0.9+0.1*$B$29/B12</f>
        <v>1.0207006369426752</v>
      </c>
      <c r="P12" s="22">
        <f aca="true" t="shared" si="3" ref="P12:P27">(1+C12/B12)/(1+$C$28/$B$28)</f>
        <v>0.7492380769336371</v>
      </c>
      <c r="Q12" s="22">
        <f>(1+R12/R28)</f>
        <v>1.0510204081632653</v>
      </c>
      <c r="R12" s="34">
        <v>10</v>
      </c>
      <c r="S12" s="22">
        <f>(0.33*O12+0.33*P12+0.33*Q12)</f>
        <v>0.9309165102730607</v>
      </c>
      <c r="T12" s="12">
        <f aca="true" t="shared" si="4" ref="T12:T27">S12/$S$28</f>
        <v>0.9141058001685461</v>
      </c>
      <c r="U12" s="22">
        <f aca="true" t="shared" si="5" ref="U12:U28">N12</f>
        <v>1.0448325932412887</v>
      </c>
      <c r="V12" s="22">
        <f>I12</f>
        <v>0.8282764478927165</v>
      </c>
      <c r="W12" s="22">
        <f aca="true" t="shared" si="6" ref="W12:W28">T12</f>
        <v>0.9141058001685461</v>
      </c>
      <c r="X12" s="12">
        <f aca="true" t="shared" si="7" ref="X12:X28">U12*$U$10+W12*$W$10+V12*$V$10</f>
        <v>0.9774622564241515</v>
      </c>
      <c r="Y12" s="12">
        <v>0.979</v>
      </c>
      <c r="Z12" s="27">
        <f>X12/Y12</f>
        <v>0.9984292711176216</v>
      </c>
    </row>
    <row r="13" spans="1:26" ht="38.25" customHeight="1">
      <c r="A13" s="9" t="s">
        <v>25</v>
      </c>
      <c r="B13" s="19">
        <f aca="true" t="shared" si="8" ref="B13:B27">C13+D13</f>
        <v>926</v>
      </c>
      <c r="C13" s="20"/>
      <c r="D13" s="20">
        <v>926</v>
      </c>
      <c r="E13" s="41">
        <v>99.46</v>
      </c>
      <c r="F13" s="20">
        <v>2646651</v>
      </c>
      <c r="G13" s="20">
        <v>547209</v>
      </c>
      <c r="H13" s="21">
        <f>(1+G13/F13)/(1+G28/F28)</f>
        <v>1.0935520230853706</v>
      </c>
      <c r="I13" s="12">
        <f>((E13/E28)+H13)/2</f>
        <v>0.909066431380586</v>
      </c>
      <c r="J13" s="22">
        <v>1.2</v>
      </c>
      <c r="K13" s="22">
        <v>0.5</v>
      </c>
      <c r="L13" s="23">
        <f aca="true" t="shared" si="9" ref="L13:L27">D13/B13</f>
        <v>1</v>
      </c>
      <c r="M13" s="24">
        <f t="shared" si="0"/>
        <v>1.95</v>
      </c>
      <c r="N13" s="25">
        <f t="shared" si="1"/>
        <v>1.0448325932412887</v>
      </c>
      <c r="O13" s="22">
        <f t="shared" si="2"/>
        <v>1.0841792656587472</v>
      </c>
      <c r="P13" s="22">
        <f t="shared" si="3"/>
        <v>0.7492380769336371</v>
      </c>
      <c r="Q13" s="22">
        <f>(1+R13/R28)</f>
        <v>1.0714285714285714</v>
      </c>
      <c r="R13" s="34">
        <v>14</v>
      </c>
      <c r="S13" s="22">
        <f aca="true" t="shared" si="10" ref="S13:S27">(0.33*O13+0.33*P13+0.33*Q13)</f>
        <v>0.9585991516269154</v>
      </c>
      <c r="T13" s="12">
        <f t="shared" si="4"/>
        <v>0.9412885418497757</v>
      </c>
      <c r="U13" s="22">
        <f t="shared" si="5"/>
        <v>1.0448325932412887</v>
      </c>
      <c r="V13" s="22">
        <f aca="true" t="shared" si="11" ref="V13:V28">I13</f>
        <v>0.909066431380586</v>
      </c>
      <c r="W13" s="22">
        <f t="shared" si="6"/>
        <v>0.9412885418497757</v>
      </c>
      <c r="X13" s="12">
        <f t="shared" si="7"/>
        <v>0.9961197767819435</v>
      </c>
      <c r="Y13" s="12">
        <v>0.991</v>
      </c>
      <c r="Z13" s="27">
        <f aca="true" t="shared" si="12" ref="Z13:Z27">X13/Y13</f>
        <v>1.0051662732411135</v>
      </c>
    </row>
    <row r="14" spans="1:26" ht="38.25" customHeight="1">
      <c r="A14" s="9" t="s">
        <v>26</v>
      </c>
      <c r="B14" s="19">
        <f t="shared" si="8"/>
        <v>593</v>
      </c>
      <c r="C14" s="20"/>
      <c r="D14" s="20">
        <v>593</v>
      </c>
      <c r="E14" s="41">
        <v>83.82</v>
      </c>
      <c r="F14" s="20">
        <v>1651900</v>
      </c>
      <c r="G14" s="20">
        <v>248512</v>
      </c>
      <c r="H14" s="21">
        <f>(1+G14/F14)/(1+G28/F28)</f>
        <v>1.0425196772410323</v>
      </c>
      <c r="I14" s="12">
        <f>((E14/E28)+H14)/2</f>
        <v>0.8265803995577053</v>
      </c>
      <c r="J14" s="22">
        <v>1.2</v>
      </c>
      <c r="K14" s="22">
        <v>0.5</v>
      </c>
      <c r="L14" s="23">
        <f t="shared" si="9"/>
        <v>1</v>
      </c>
      <c r="M14" s="24">
        <f t="shared" si="0"/>
        <v>1.95</v>
      </c>
      <c r="N14" s="25">
        <f t="shared" si="1"/>
        <v>1.0448325932412887</v>
      </c>
      <c r="O14" s="22">
        <f t="shared" si="2"/>
        <v>1.1876053962900506</v>
      </c>
      <c r="P14" s="22">
        <f t="shared" si="3"/>
        <v>0.7492380769336371</v>
      </c>
      <c r="Q14" s="22">
        <f>(1+R14/R28)</f>
        <v>1.0561224489795917</v>
      </c>
      <c r="R14" s="34">
        <v>11</v>
      </c>
      <c r="S14" s="22">
        <f t="shared" si="10"/>
        <v>0.9876787543270822</v>
      </c>
      <c r="T14" s="12">
        <f t="shared" si="4"/>
        <v>0.9698430182195441</v>
      </c>
      <c r="U14" s="22">
        <f t="shared" si="5"/>
        <v>1.0448325932412887</v>
      </c>
      <c r="V14" s="22">
        <f t="shared" si="11"/>
        <v>0.8265803995577053</v>
      </c>
      <c r="W14" s="22">
        <f t="shared" si="6"/>
        <v>0.9698430182195441</v>
      </c>
      <c r="X14" s="12">
        <f t="shared" si="7"/>
        <v>0.9939629355558994</v>
      </c>
      <c r="Y14" s="12">
        <v>1</v>
      </c>
      <c r="Z14" s="27">
        <f t="shared" si="12"/>
        <v>0.9939629355558994</v>
      </c>
    </row>
    <row r="15" spans="1:26" ht="38.25" customHeight="1">
      <c r="A15" s="9" t="s">
        <v>27</v>
      </c>
      <c r="B15" s="19">
        <f t="shared" si="8"/>
        <v>846</v>
      </c>
      <c r="C15" s="20"/>
      <c r="D15" s="20">
        <v>846</v>
      </c>
      <c r="E15" s="41">
        <v>93.34</v>
      </c>
      <c r="F15" s="20">
        <v>2532397</v>
      </c>
      <c r="G15" s="20">
        <v>564441</v>
      </c>
      <c r="H15" s="21">
        <f>(1+G15/F15)/(1+G28/F28)</f>
        <v>1.108171424121555</v>
      </c>
      <c r="I15" s="12">
        <f>((E15/E28)+H15)/2</f>
        <v>0.8940835784157911</v>
      </c>
      <c r="J15" s="22">
        <v>1.2</v>
      </c>
      <c r="K15" s="22">
        <v>0.5</v>
      </c>
      <c r="L15" s="23">
        <f t="shared" si="9"/>
        <v>1</v>
      </c>
      <c r="M15" s="24">
        <f t="shared" si="0"/>
        <v>1.95</v>
      </c>
      <c r="N15" s="25">
        <f t="shared" si="1"/>
        <v>1.0448325932412887</v>
      </c>
      <c r="O15" s="22">
        <f t="shared" si="2"/>
        <v>1.101595744680851</v>
      </c>
      <c r="P15" s="22">
        <f t="shared" si="3"/>
        <v>0.7492380769336371</v>
      </c>
      <c r="Q15" s="22">
        <f>(1+R15/R28)</f>
        <v>1.0255102040816326</v>
      </c>
      <c r="R15" s="34">
        <v>5</v>
      </c>
      <c r="S15" s="22">
        <f t="shared" si="10"/>
        <v>0.9491935284797199</v>
      </c>
      <c r="T15" s="12">
        <f t="shared" si="4"/>
        <v>0.9320527676657633</v>
      </c>
      <c r="U15" s="22">
        <f t="shared" si="5"/>
        <v>1.0448325932412887</v>
      </c>
      <c r="V15" s="22">
        <f t="shared" si="11"/>
        <v>0.8940835784157911</v>
      </c>
      <c r="W15" s="22">
        <f t="shared" si="6"/>
        <v>0.9320527676657633</v>
      </c>
      <c r="X15" s="12">
        <f t="shared" si="7"/>
        <v>0.9914012736413165</v>
      </c>
      <c r="Y15" s="26">
        <v>0.993</v>
      </c>
      <c r="Z15" s="27">
        <f t="shared" si="12"/>
        <v>0.9983900036669854</v>
      </c>
    </row>
    <row r="16" spans="1:26" ht="38.25" customHeight="1">
      <c r="A16" s="9" t="s">
        <v>28</v>
      </c>
      <c r="B16" s="19">
        <f t="shared" si="8"/>
        <v>2528</v>
      </c>
      <c r="C16" s="20"/>
      <c r="D16" s="20">
        <v>2528</v>
      </c>
      <c r="E16" s="41">
        <v>106.13</v>
      </c>
      <c r="F16" s="20">
        <v>5454074</v>
      </c>
      <c r="G16" s="20">
        <v>1225384</v>
      </c>
      <c r="H16" s="21">
        <f>(1+G16/F16)/(1+G28/F28)</f>
        <v>1.1097890803318429</v>
      </c>
      <c r="I16" s="12">
        <f>((E16/E28)+H16)/2</f>
        <v>0.9414809292408903</v>
      </c>
      <c r="J16" s="22">
        <v>1.2</v>
      </c>
      <c r="K16" s="22">
        <v>0.5</v>
      </c>
      <c r="L16" s="23">
        <f t="shared" si="9"/>
        <v>1</v>
      </c>
      <c r="M16" s="24">
        <f t="shared" si="0"/>
        <v>1.95</v>
      </c>
      <c r="N16" s="25">
        <f t="shared" si="1"/>
        <v>1.0448325932412887</v>
      </c>
      <c r="O16" s="22">
        <f t="shared" si="2"/>
        <v>0.9674643987341772</v>
      </c>
      <c r="P16" s="22">
        <f t="shared" si="3"/>
        <v>0.7492380769336371</v>
      </c>
      <c r="Q16" s="22">
        <f>(1+R16/R28)</f>
        <v>1.0153061224489797</v>
      </c>
      <c r="R16" s="34">
        <v>3</v>
      </c>
      <c r="S16" s="22">
        <f t="shared" si="10"/>
        <v>0.901562837378542</v>
      </c>
      <c r="T16" s="12">
        <f t="shared" si="4"/>
        <v>0.8852822028286954</v>
      </c>
      <c r="U16" s="22">
        <f t="shared" si="5"/>
        <v>1.0448325932412887</v>
      </c>
      <c r="V16" s="22">
        <f t="shared" si="11"/>
        <v>0.9414809292408903</v>
      </c>
      <c r="W16" s="22">
        <f t="shared" si="6"/>
        <v>0.8852822028286954</v>
      </c>
      <c r="X16" s="12">
        <f t="shared" si="7"/>
        <v>0.9835317597974589</v>
      </c>
      <c r="Y16" s="26">
        <v>0.981</v>
      </c>
      <c r="Z16" s="27">
        <f t="shared" si="12"/>
        <v>1.0025807949005696</v>
      </c>
    </row>
    <row r="17" spans="1:26" ht="38.25" customHeight="1">
      <c r="A17" s="9" t="s">
        <v>29</v>
      </c>
      <c r="B17" s="19">
        <f t="shared" si="8"/>
        <v>521</v>
      </c>
      <c r="C17" s="20"/>
      <c r="D17" s="20">
        <v>521</v>
      </c>
      <c r="E17" s="41">
        <v>90.33</v>
      </c>
      <c r="F17" s="20">
        <v>2005363</v>
      </c>
      <c r="G17" s="20">
        <v>360868</v>
      </c>
      <c r="H17" s="21">
        <f>(1+G17/F17)/(1+G28/F28)</f>
        <v>1.069262637990392</v>
      </c>
      <c r="I17" s="12">
        <f>((E17/E28)+H17)/2</f>
        <v>0.8636650373136916</v>
      </c>
      <c r="J17" s="22">
        <v>1.2</v>
      </c>
      <c r="K17" s="22">
        <v>0.5</v>
      </c>
      <c r="L17" s="23">
        <f t="shared" si="9"/>
        <v>1</v>
      </c>
      <c r="M17" s="24">
        <f t="shared" si="0"/>
        <v>1.95</v>
      </c>
      <c r="N17" s="25">
        <f t="shared" si="1"/>
        <v>1.0448325932412887</v>
      </c>
      <c r="O17" s="22">
        <f t="shared" si="2"/>
        <v>1.2273512476007677</v>
      </c>
      <c r="P17" s="22">
        <f t="shared" si="3"/>
        <v>0.7492380769336371</v>
      </c>
      <c r="Q17" s="22">
        <f>(1+R17/R28)</f>
        <v>1.0357142857142858</v>
      </c>
      <c r="R17" s="34">
        <v>7</v>
      </c>
      <c r="S17" s="22">
        <f t="shared" si="10"/>
        <v>0.9940601913820679</v>
      </c>
      <c r="T17" s="12">
        <f t="shared" si="4"/>
        <v>0.9761092177777213</v>
      </c>
      <c r="U17" s="22">
        <f t="shared" si="5"/>
        <v>1.0448325932412887</v>
      </c>
      <c r="V17" s="22">
        <f t="shared" si="11"/>
        <v>0.8636650373136916</v>
      </c>
      <c r="W17" s="22">
        <f t="shared" si="6"/>
        <v>0.9761092177777213</v>
      </c>
      <c r="X17" s="12">
        <f t="shared" si="7"/>
        <v>1.0006637983316309</v>
      </c>
      <c r="Y17" s="26">
        <v>1</v>
      </c>
      <c r="Z17" s="27">
        <f t="shared" si="12"/>
        <v>1.0006637983316309</v>
      </c>
    </row>
    <row r="18" spans="1:26" ht="38.25" customHeight="1">
      <c r="A18" s="9" t="s">
        <v>30</v>
      </c>
      <c r="B18" s="19">
        <f t="shared" si="8"/>
        <v>975</v>
      </c>
      <c r="C18" s="20"/>
      <c r="D18" s="20">
        <v>975</v>
      </c>
      <c r="E18" s="41">
        <v>84.67</v>
      </c>
      <c r="F18" s="20">
        <v>2786403</v>
      </c>
      <c r="G18" s="20">
        <v>460672</v>
      </c>
      <c r="H18" s="21">
        <f>(1+G18/F18)/(1+G28/F28)</f>
        <v>1.0560114834916419</v>
      </c>
      <c r="I18" s="12">
        <f>((E18/E28)+H18)/2</f>
        <v>0.8364224906667445</v>
      </c>
      <c r="J18" s="22">
        <v>1.2</v>
      </c>
      <c r="K18" s="22">
        <v>0.5</v>
      </c>
      <c r="L18" s="23">
        <f t="shared" si="9"/>
        <v>1</v>
      </c>
      <c r="M18" s="24">
        <f t="shared" si="0"/>
        <v>1.95</v>
      </c>
      <c r="N18" s="25">
        <f t="shared" si="1"/>
        <v>1.0448325932412887</v>
      </c>
      <c r="O18" s="22">
        <f t="shared" si="2"/>
        <v>1.0749230769230769</v>
      </c>
      <c r="P18" s="22">
        <f t="shared" si="3"/>
        <v>0.7492380769336371</v>
      </c>
      <c r="Q18" s="22">
        <f>(1+R18/R28)</f>
        <v>1.010204081632653</v>
      </c>
      <c r="R18" s="34">
        <v>2</v>
      </c>
      <c r="S18" s="22">
        <f t="shared" si="10"/>
        <v>0.935340527711491</v>
      </c>
      <c r="T18" s="12">
        <f t="shared" si="4"/>
        <v>0.918449927655693</v>
      </c>
      <c r="U18" s="22">
        <f t="shared" si="5"/>
        <v>1.0448325932412887</v>
      </c>
      <c r="V18" s="22">
        <f t="shared" si="11"/>
        <v>0.8364224906667445</v>
      </c>
      <c r="W18" s="22">
        <f t="shared" si="6"/>
        <v>0.918449927655693</v>
      </c>
      <c r="X18" s="12">
        <f t="shared" si="7"/>
        <v>0.9798244802309193</v>
      </c>
      <c r="Y18" s="26">
        <v>0.985</v>
      </c>
      <c r="Z18" s="27">
        <f t="shared" si="12"/>
        <v>0.9947456652090552</v>
      </c>
    </row>
    <row r="19" spans="1:26" ht="38.25" customHeight="1">
      <c r="A19" s="9" t="s">
        <v>31</v>
      </c>
      <c r="B19" s="19">
        <f t="shared" si="8"/>
        <v>883</v>
      </c>
      <c r="C19" s="20"/>
      <c r="D19" s="20">
        <v>883</v>
      </c>
      <c r="E19" s="41">
        <v>106.9</v>
      </c>
      <c r="F19" s="20">
        <v>2216859</v>
      </c>
      <c r="G19" s="20">
        <v>522927</v>
      </c>
      <c r="H19" s="21">
        <f>(1+G19/F19)/(1+G28/F28)</f>
        <v>1.1199504814957257</v>
      </c>
      <c r="I19" s="12">
        <f>((E19/E28)+H19)/2</f>
        <v>0.9493664118786851</v>
      </c>
      <c r="J19" s="22">
        <v>1.2</v>
      </c>
      <c r="K19" s="22">
        <v>0.5</v>
      </c>
      <c r="L19" s="23">
        <f t="shared" si="9"/>
        <v>1</v>
      </c>
      <c r="M19" s="24">
        <f t="shared" si="0"/>
        <v>1.95</v>
      </c>
      <c r="N19" s="25">
        <f t="shared" si="1"/>
        <v>1.0448325932412887</v>
      </c>
      <c r="O19" s="22">
        <f t="shared" si="2"/>
        <v>1.0931483578708947</v>
      </c>
      <c r="P19" s="22">
        <f t="shared" si="3"/>
        <v>0.7492380769336371</v>
      </c>
      <c r="Q19" s="22">
        <f>(1+R19/R28)</f>
        <v>1.0816326530612246</v>
      </c>
      <c r="R19" s="34">
        <v>16</v>
      </c>
      <c r="S19" s="22">
        <f t="shared" si="10"/>
        <v>0.9649262989956996</v>
      </c>
      <c r="T19" s="12">
        <f t="shared" si="4"/>
        <v>0.9475014320977211</v>
      </c>
      <c r="U19" s="22">
        <f t="shared" si="5"/>
        <v>1.0448325932412887</v>
      </c>
      <c r="V19" s="22">
        <f t="shared" si="11"/>
        <v>0.9493664118786851</v>
      </c>
      <c r="W19" s="22">
        <f t="shared" si="6"/>
        <v>0.9475014320977211</v>
      </c>
      <c r="X19" s="12">
        <f t="shared" si="7"/>
        <v>1.0032226413210799</v>
      </c>
      <c r="Y19" s="26">
        <v>1.002</v>
      </c>
      <c r="Z19" s="27">
        <f t="shared" si="12"/>
        <v>1.0012202009192415</v>
      </c>
    </row>
    <row r="20" spans="1:26" ht="38.25" customHeight="1">
      <c r="A20" s="9" t="s">
        <v>32</v>
      </c>
      <c r="B20" s="19">
        <f t="shared" si="8"/>
        <v>10519</v>
      </c>
      <c r="C20" s="20">
        <v>9133</v>
      </c>
      <c r="D20" s="20">
        <v>1386</v>
      </c>
      <c r="E20" s="41">
        <v>187.6</v>
      </c>
      <c r="F20" s="82">
        <v>48648052</v>
      </c>
      <c r="G20" s="20">
        <v>3850000</v>
      </c>
      <c r="H20" s="21">
        <f>(1+G20/F20)/(1+G28/F28)</f>
        <v>0.97790796645861</v>
      </c>
      <c r="I20" s="12">
        <f>((E20/E28)+H20)/2</f>
        <v>1.1723008841099622</v>
      </c>
      <c r="J20" s="22">
        <v>1.2</v>
      </c>
      <c r="K20" s="22">
        <v>0.5</v>
      </c>
      <c r="L20" s="23">
        <f t="shared" si="9"/>
        <v>0.13176157429413443</v>
      </c>
      <c r="M20" s="24">
        <f t="shared" si="0"/>
        <v>1.7329403935735335</v>
      </c>
      <c r="N20" s="25">
        <f t="shared" si="1"/>
        <v>0.9285295412051358</v>
      </c>
      <c r="O20" s="22">
        <f t="shared" si="2"/>
        <v>0.9162135183952848</v>
      </c>
      <c r="P20" s="22">
        <f t="shared" si="3"/>
        <v>1.3997553653293884</v>
      </c>
      <c r="Q20" s="22">
        <f>(1+R20/R28)</f>
        <v>1.1122448979591837</v>
      </c>
      <c r="R20" s="34">
        <v>22</v>
      </c>
      <c r="S20" s="22">
        <f t="shared" si="10"/>
        <v>1.1313105479556729</v>
      </c>
      <c r="T20" s="12">
        <f>S20/$S$28</f>
        <v>1.1108810750115485</v>
      </c>
      <c r="U20" s="22">
        <f t="shared" si="5"/>
        <v>0.9285295412051358</v>
      </c>
      <c r="V20" s="22">
        <f t="shared" si="11"/>
        <v>1.1723008841099622</v>
      </c>
      <c r="W20" s="22">
        <f t="shared" si="6"/>
        <v>1.1108810750115485</v>
      </c>
      <c r="X20" s="12">
        <f>U20*$U$11+W20*$W$11+V20*$V$11</f>
        <v>1.0793243529781391</v>
      </c>
      <c r="Y20" s="26">
        <v>1.047</v>
      </c>
      <c r="Z20" s="27">
        <f t="shared" si="12"/>
        <v>1.0308733075244882</v>
      </c>
    </row>
    <row r="21" spans="1:26" ht="38.25" customHeight="1">
      <c r="A21" s="9" t="s">
        <v>33</v>
      </c>
      <c r="B21" s="19">
        <f t="shared" si="8"/>
        <v>317</v>
      </c>
      <c r="C21" s="20"/>
      <c r="D21" s="20">
        <v>317</v>
      </c>
      <c r="E21" s="41">
        <v>82.23</v>
      </c>
      <c r="F21" s="20">
        <v>1753941</v>
      </c>
      <c r="G21" s="20">
        <v>225461</v>
      </c>
      <c r="H21" s="21">
        <f>(1+G21/F21)/(1+G28/F28)</f>
        <v>1.022678850215591</v>
      </c>
      <c r="I21" s="12">
        <f>((E21/E28)+H21)/2</f>
        <v>0.8108682932283522</v>
      </c>
      <c r="J21" s="22">
        <v>1.2</v>
      </c>
      <c r="K21" s="22">
        <v>0.5</v>
      </c>
      <c r="L21" s="23">
        <f t="shared" si="9"/>
        <v>1</v>
      </c>
      <c r="M21" s="24">
        <f t="shared" si="0"/>
        <v>1.95</v>
      </c>
      <c r="N21" s="25">
        <f t="shared" si="1"/>
        <v>1.0448325932412887</v>
      </c>
      <c r="O21" s="22">
        <f t="shared" si="2"/>
        <v>1.43801261829653</v>
      </c>
      <c r="P21" s="22">
        <f t="shared" si="3"/>
        <v>0.7492380769336371</v>
      </c>
      <c r="Q21" s="22">
        <f>(1+R21/R28)</f>
        <v>1.0204081632653061</v>
      </c>
      <c r="R21" s="34">
        <v>4</v>
      </c>
      <c r="S21" s="22">
        <f t="shared" si="10"/>
        <v>1.0585274233035062</v>
      </c>
      <c r="T21" s="12">
        <f t="shared" si="4"/>
        <v>1.0394122852063052</v>
      </c>
      <c r="U21" s="22">
        <f t="shared" si="5"/>
        <v>1.0448325932412887</v>
      </c>
      <c r="V21" s="22">
        <f t="shared" si="11"/>
        <v>0.8108682932283522</v>
      </c>
      <c r="W21" s="22">
        <f t="shared" si="6"/>
        <v>1.0394122852063052</v>
      </c>
      <c r="X21" s="12">
        <f t="shared" si="7"/>
        <v>1.0127911418291118</v>
      </c>
      <c r="Y21" s="26">
        <v>1.02</v>
      </c>
      <c r="Z21" s="27">
        <f t="shared" si="12"/>
        <v>0.9929324919893253</v>
      </c>
    </row>
    <row r="22" spans="1:26" ht="38.25" customHeight="1">
      <c r="A22" s="9" t="s">
        <v>34</v>
      </c>
      <c r="B22" s="19">
        <f t="shared" si="8"/>
        <v>495</v>
      </c>
      <c r="C22" s="20"/>
      <c r="D22" s="20">
        <v>495</v>
      </c>
      <c r="E22" s="41">
        <v>86.41</v>
      </c>
      <c r="F22" s="20">
        <v>2196671</v>
      </c>
      <c r="G22" s="20">
        <v>232669</v>
      </c>
      <c r="H22" s="21">
        <f>(1+G22/F22)/(1+G28/F28)</f>
        <v>1.0021749301015102</v>
      </c>
      <c r="I22" s="12">
        <f>((E22/E28)+H22)/2</f>
        <v>0.8158422929030876</v>
      </c>
      <c r="J22" s="22">
        <v>1.2</v>
      </c>
      <c r="K22" s="22">
        <v>0.5</v>
      </c>
      <c r="L22" s="23">
        <f t="shared" si="9"/>
        <v>1</v>
      </c>
      <c r="M22" s="24">
        <f t="shared" si="0"/>
        <v>1.95</v>
      </c>
      <c r="N22" s="25">
        <f t="shared" si="1"/>
        <v>1.0448325932412887</v>
      </c>
      <c r="O22" s="22">
        <f t="shared" si="2"/>
        <v>1.2445454545454546</v>
      </c>
      <c r="P22" s="22">
        <f t="shared" si="3"/>
        <v>0.7492380769336371</v>
      </c>
      <c r="Q22" s="22">
        <f>(1+R22/R28)</f>
        <v>1.0510204081632653</v>
      </c>
      <c r="R22" s="34">
        <v>10</v>
      </c>
      <c r="S22" s="22">
        <f t="shared" si="10"/>
        <v>1.004785300081978</v>
      </c>
      <c r="T22" s="12">
        <f t="shared" si="4"/>
        <v>0.9866406499328457</v>
      </c>
      <c r="U22" s="22">
        <f t="shared" si="5"/>
        <v>1.0448325932412887</v>
      </c>
      <c r="V22" s="22">
        <f t="shared" si="11"/>
        <v>0.8158422929030876</v>
      </c>
      <c r="W22" s="22">
        <f t="shared" si="6"/>
        <v>0.9866406499328457</v>
      </c>
      <c r="X22" s="12">
        <f t="shared" si="7"/>
        <v>0.9976062712047897</v>
      </c>
      <c r="Y22" s="26">
        <v>1.005</v>
      </c>
      <c r="Z22" s="27">
        <f t="shared" si="12"/>
        <v>0.992643055925164</v>
      </c>
    </row>
    <row r="23" spans="1:26" ht="38.25" customHeight="1">
      <c r="A23" s="9" t="s">
        <v>35</v>
      </c>
      <c r="B23" s="19">
        <f t="shared" si="8"/>
        <v>1256</v>
      </c>
      <c r="C23" s="20"/>
      <c r="D23" s="20">
        <v>1256</v>
      </c>
      <c r="E23" s="41">
        <v>102.32</v>
      </c>
      <c r="F23" s="20">
        <v>3005659</v>
      </c>
      <c r="G23" s="20">
        <v>334240</v>
      </c>
      <c r="H23" s="21">
        <f>(1+G23/F23)/(1+G28/F28)</f>
        <v>1.006963842841183</v>
      </c>
      <c r="I23" s="12">
        <f>((E23/E28)+H23)/2</f>
        <v>0.8761901031802335</v>
      </c>
      <c r="J23" s="22">
        <v>1.2</v>
      </c>
      <c r="K23" s="22">
        <v>0.5</v>
      </c>
      <c r="L23" s="23">
        <f t="shared" si="9"/>
        <v>1</v>
      </c>
      <c r="M23" s="24">
        <f t="shared" si="0"/>
        <v>1.95</v>
      </c>
      <c r="N23" s="25">
        <f t="shared" si="1"/>
        <v>1.0448325932412887</v>
      </c>
      <c r="O23" s="22">
        <f t="shared" si="2"/>
        <v>1.0357882165605097</v>
      </c>
      <c r="P23" s="22">
        <f t="shared" si="3"/>
        <v>0.7492380769336371</v>
      </c>
      <c r="Q23" s="22">
        <f>(1+R23/R28)</f>
        <v>1.2653061224489797</v>
      </c>
      <c r="R23" s="34">
        <v>52</v>
      </c>
      <c r="S23" s="22">
        <f t="shared" si="10"/>
        <v>1.0066096972612317</v>
      </c>
      <c r="T23" s="12">
        <f t="shared" si="4"/>
        <v>0.98843210171715</v>
      </c>
      <c r="U23" s="22">
        <f t="shared" si="5"/>
        <v>1.0448325932412887</v>
      </c>
      <c r="V23" s="22">
        <f t="shared" si="11"/>
        <v>0.8761901031802335</v>
      </c>
      <c r="W23" s="22">
        <f t="shared" si="6"/>
        <v>0.98843210171715</v>
      </c>
      <c r="X23" s="12">
        <f t="shared" si="7"/>
        <v>1.0059889220761098</v>
      </c>
      <c r="Y23" s="26">
        <v>1.007</v>
      </c>
      <c r="Z23" s="27">
        <f t="shared" si="12"/>
        <v>0.9989959504231478</v>
      </c>
    </row>
    <row r="24" spans="1:26" ht="38.25" customHeight="1">
      <c r="A24" s="9" t="s">
        <v>36</v>
      </c>
      <c r="B24" s="19">
        <f t="shared" si="8"/>
        <v>448</v>
      </c>
      <c r="C24" s="20"/>
      <c r="D24" s="20">
        <v>448</v>
      </c>
      <c r="E24" s="41">
        <v>90.09</v>
      </c>
      <c r="F24" s="20">
        <v>1715272</v>
      </c>
      <c r="G24" s="20">
        <v>245486</v>
      </c>
      <c r="H24" s="21">
        <f>(1+G24/F24)/(1+G28/F28)</f>
        <v>1.035884291564449</v>
      </c>
      <c r="I24" s="12">
        <f>((E24/E28)+H24)/2</f>
        <v>0.8461016463170774</v>
      </c>
      <c r="J24" s="22">
        <v>1.2</v>
      </c>
      <c r="K24" s="22">
        <v>0.5</v>
      </c>
      <c r="L24" s="23">
        <f t="shared" si="9"/>
        <v>1</v>
      </c>
      <c r="M24" s="24">
        <f t="shared" si="0"/>
        <v>1.95</v>
      </c>
      <c r="N24" s="25">
        <f t="shared" si="1"/>
        <v>1.0448325932412887</v>
      </c>
      <c r="O24" s="22">
        <f t="shared" si="2"/>
        <v>1.2806919642857144</v>
      </c>
      <c r="P24" s="22">
        <f t="shared" si="3"/>
        <v>0.7492380769336371</v>
      </c>
      <c r="Q24" s="22">
        <f>(1+R24/R28)</f>
        <v>1.0204081632653061</v>
      </c>
      <c r="R24" s="34">
        <v>4</v>
      </c>
      <c r="S24" s="22">
        <f t="shared" si="10"/>
        <v>1.0066116074799372</v>
      </c>
      <c r="T24" s="12">
        <f t="shared" si="4"/>
        <v>0.9884339774406752</v>
      </c>
      <c r="U24" s="22">
        <f t="shared" si="5"/>
        <v>1.0448325932412887</v>
      </c>
      <c r="V24" s="22">
        <f t="shared" si="11"/>
        <v>0.8461016463170774</v>
      </c>
      <c r="W24" s="22">
        <f t="shared" si="6"/>
        <v>0.9884339774406752</v>
      </c>
      <c r="X24" s="12">
        <f t="shared" si="7"/>
        <v>1.0020779854009572</v>
      </c>
      <c r="Y24" s="26">
        <v>1.001</v>
      </c>
      <c r="Z24" s="27">
        <f t="shared" si="12"/>
        <v>1.001076908492465</v>
      </c>
    </row>
    <row r="25" spans="1:26" ht="38.25" customHeight="1">
      <c r="A25" s="9" t="s">
        <v>37</v>
      </c>
      <c r="B25" s="19">
        <f t="shared" si="8"/>
        <v>974</v>
      </c>
      <c r="C25" s="20"/>
      <c r="D25" s="20">
        <v>974</v>
      </c>
      <c r="E25" s="41">
        <v>76.47</v>
      </c>
      <c r="F25" s="20">
        <v>2189034</v>
      </c>
      <c r="G25" s="20">
        <v>172000</v>
      </c>
      <c r="H25" s="21">
        <f>(1+G25/F25)/(1+G28/F28)</f>
        <v>0.977394709904304</v>
      </c>
      <c r="I25" s="12">
        <f>((E25/E28)+H25)/2</f>
        <v>0.7672449962652856</v>
      </c>
      <c r="J25" s="22">
        <v>1.2</v>
      </c>
      <c r="K25" s="22">
        <v>0.5</v>
      </c>
      <c r="L25" s="23">
        <f t="shared" si="9"/>
        <v>1</v>
      </c>
      <c r="M25" s="24">
        <f t="shared" si="0"/>
        <v>1.95</v>
      </c>
      <c r="N25" s="25">
        <f t="shared" si="1"/>
        <v>1.0448325932412887</v>
      </c>
      <c r="O25" s="22">
        <f t="shared" si="2"/>
        <v>1.0751026694045174</v>
      </c>
      <c r="P25" s="22">
        <f t="shared" si="3"/>
        <v>0.7492380769336371</v>
      </c>
      <c r="Q25" s="22">
        <f>(1+R25/R28)</f>
        <v>1.0714285714285714</v>
      </c>
      <c r="R25" s="34">
        <v>14</v>
      </c>
      <c r="S25" s="22">
        <f t="shared" si="10"/>
        <v>0.9556038748630196</v>
      </c>
      <c r="T25" s="12">
        <f t="shared" si="4"/>
        <v>0.9383473545007791</v>
      </c>
      <c r="U25" s="22">
        <f t="shared" si="5"/>
        <v>1.0448325932412887</v>
      </c>
      <c r="V25" s="22">
        <f t="shared" si="11"/>
        <v>0.7672449962652856</v>
      </c>
      <c r="W25" s="22">
        <f t="shared" si="6"/>
        <v>0.9383473545007791</v>
      </c>
      <c r="X25" s="12">
        <f t="shared" si="7"/>
        <v>0.9768006340122554</v>
      </c>
      <c r="Y25" s="26">
        <v>0.981</v>
      </c>
      <c r="Z25" s="27">
        <f t="shared" si="12"/>
        <v>0.9957193007260503</v>
      </c>
    </row>
    <row r="26" spans="1:26" ht="38.25" customHeight="1">
      <c r="A26" s="9" t="s">
        <v>38</v>
      </c>
      <c r="B26" s="19">
        <f t="shared" si="8"/>
        <v>435</v>
      </c>
      <c r="C26" s="20"/>
      <c r="D26" s="20">
        <v>435</v>
      </c>
      <c r="E26" s="41">
        <v>83.76</v>
      </c>
      <c r="F26" s="20">
        <v>1575835</v>
      </c>
      <c r="G26" s="20">
        <v>120000</v>
      </c>
      <c r="H26" s="21">
        <f>(1+G26/F26)/(1+G28/F28)</f>
        <v>0.9751986742799884</v>
      </c>
      <c r="I26" s="12">
        <f>((E26/E28)+H26)/2</f>
        <v>0.7927013436312728</v>
      </c>
      <c r="J26" s="22">
        <v>1.2</v>
      </c>
      <c r="K26" s="22">
        <v>0.5</v>
      </c>
      <c r="L26" s="23">
        <f t="shared" si="9"/>
        <v>1</v>
      </c>
      <c r="M26" s="24">
        <f t="shared" si="0"/>
        <v>1.95</v>
      </c>
      <c r="N26" s="25">
        <f t="shared" si="1"/>
        <v>1.0448325932412887</v>
      </c>
      <c r="O26" s="22">
        <f t="shared" si="2"/>
        <v>1.2920689655172415</v>
      </c>
      <c r="P26" s="22">
        <f t="shared" si="3"/>
        <v>0.7492380769336371</v>
      </c>
      <c r="Q26" s="22">
        <f>(1+R26/R28)</f>
        <v>1.0204081632653061</v>
      </c>
      <c r="R26" s="34">
        <v>4</v>
      </c>
      <c r="S26" s="22">
        <f t="shared" si="10"/>
        <v>1.010366017886341</v>
      </c>
      <c r="T26" s="12">
        <f t="shared" si="4"/>
        <v>0.9921205898176543</v>
      </c>
      <c r="U26" s="22">
        <f t="shared" si="5"/>
        <v>1.0448325932412887</v>
      </c>
      <c r="V26" s="22">
        <f t="shared" si="11"/>
        <v>0.7927013436312728</v>
      </c>
      <c r="W26" s="22">
        <f t="shared" si="6"/>
        <v>0.9921205898176543</v>
      </c>
      <c r="X26" s="12">
        <f t="shared" si="7"/>
        <v>0.9962419297648963</v>
      </c>
      <c r="Y26" s="26">
        <v>0.999</v>
      </c>
      <c r="Z26" s="27">
        <f t="shared" si="12"/>
        <v>0.9972391689338301</v>
      </c>
    </row>
    <row r="27" spans="1:26" ht="38.25" customHeight="1">
      <c r="A27" s="9" t="s">
        <v>39</v>
      </c>
      <c r="B27" s="19">
        <f t="shared" si="8"/>
        <v>4159</v>
      </c>
      <c r="C27" s="20"/>
      <c r="D27" s="20">
        <v>4159</v>
      </c>
      <c r="E27" s="41">
        <v>142.29</v>
      </c>
      <c r="F27" s="20">
        <v>12059123</v>
      </c>
      <c r="G27" s="20">
        <v>330850</v>
      </c>
      <c r="H27" s="21">
        <f>(1+G27/F27)/(1+G28/F28)</f>
        <v>0.9310540317981395</v>
      </c>
      <c r="I27" s="12">
        <f>((E27/E28)+H27)/2</f>
        <v>0.9838288843761951</v>
      </c>
      <c r="J27" s="22">
        <v>1.2</v>
      </c>
      <c r="K27" s="22">
        <v>0.5</v>
      </c>
      <c r="L27" s="23">
        <f t="shared" si="9"/>
        <v>1</v>
      </c>
      <c r="M27" s="24">
        <f t="shared" si="0"/>
        <v>1.95</v>
      </c>
      <c r="N27" s="25">
        <f t="shared" si="1"/>
        <v>1.0448325932412887</v>
      </c>
      <c r="O27" s="22">
        <f t="shared" si="2"/>
        <v>0.9410074537148353</v>
      </c>
      <c r="P27" s="22">
        <f t="shared" si="3"/>
        <v>0.7492380769336371</v>
      </c>
      <c r="Q27" s="22">
        <f>(1+R27/R28)</f>
        <v>1.0918367346938775</v>
      </c>
      <c r="R27" s="34">
        <v>18</v>
      </c>
      <c r="S27" s="22">
        <f t="shared" si="10"/>
        <v>0.9180871475629755</v>
      </c>
      <c r="T27" s="12">
        <f t="shared" si="4"/>
        <v>0.9015081131189149</v>
      </c>
      <c r="U27" s="22">
        <f t="shared" si="5"/>
        <v>1.0448325932412887</v>
      </c>
      <c r="V27" s="22">
        <f t="shared" si="11"/>
        <v>0.9838288843761951</v>
      </c>
      <c r="W27" s="22">
        <f t="shared" si="6"/>
        <v>0.9015081131189149</v>
      </c>
      <c r="X27" s="12">
        <f t="shared" si="7"/>
        <v>0.9939047670521144</v>
      </c>
      <c r="Y27" s="26">
        <v>0.994</v>
      </c>
      <c r="Z27" s="27">
        <f t="shared" si="12"/>
        <v>0.9999041922053464</v>
      </c>
    </row>
    <row r="28" spans="1:26" s="11" customFormat="1" ht="38.25" customHeight="1">
      <c r="A28" s="10" t="s">
        <v>20</v>
      </c>
      <c r="B28" s="28">
        <f>SUM(B12:B27)</f>
        <v>27288</v>
      </c>
      <c r="C28" s="29">
        <f>SUM(C12:C27)</f>
        <v>9133</v>
      </c>
      <c r="D28" s="29">
        <f>SUM(D12:D27)</f>
        <v>18155</v>
      </c>
      <c r="E28" s="30">
        <f>(E12*B12+E13*B13+E14*B14+E15*B15+E16*B16+E17*B17+E18*B18+E19*B19+E20*B20+E21*B21+E22*B22+E23*B23+E24*B24+E25*B25+E26*B26+E27*B27)/B28</f>
        <v>137.26556728232188</v>
      </c>
      <c r="F28" s="29">
        <f>SUM(F12:F27)</f>
        <v>95091227</v>
      </c>
      <c r="G28" s="29">
        <f>SUM(G12:G27)</f>
        <v>9843733</v>
      </c>
      <c r="H28" s="30">
        <f>(B27*H27+B26*H26+B25*H25+B24*H24+B23*H23+B22*H22+B21*H21+B20*H20+B19*H19+B18*H18+B17*H17+B16*H16+B15*H15+B14*H14+B13*H13+B12*H12)/B28</f>
        <v>1.0080824755393423</v>
      </c>
      <c r="I28" s="31">
        <f>(I12*B12+I13*B13+I14*B14+I15*B15+I16*B16+I17*B17+I18*B18+I19*B19+I20*B20+I21*B21+I22*B22+I23*B23+I24*B24+I25*B25+I26*B26+I27*B27)/B28</f>
        <v>1.0040412377696712</v>
      </c>
      <c r="J28" s="13"/>
      <c r="K28" s="13"/>
      <c r="L28" s="13">
        <f>D28/B28</f>
        <v>0.6653107593081208</v>
      </c>
      <c r="M28" s="31">
        <f>(M12*B12+M13*B13+M14*B14+M15*B15+M16*B16+M17*B17+M18*B18+M19*B19+M20*B20+M21*B21+M22*B22+M23*B23+M24*B24+M25*B25+M26*B26+M27*B27)/B28</f>
        <v>1.8663276898270305</v>
      </c>
      <c r="N28" s="32">
        <v>1</v>
      </c>
      <c r="O28" s="13"/>
      <c r="P28" s="13"/>
      <c r="Q28" s="13"/>
      <c r="R28" s="29">
        <f>SUM(R12:R27)</f>
        <v>196</v>
      </c>
      <c r="S28" s="13">
        <f>(S12*B12+B13*S13+B14*S14+S15*B15+B16*S16+S17*B17+B18*S18+S19*B19+B20*S20+S21*B21+B22*S22+S23*B23+B24*S24+S25*B25+B26*S26+S27*B27)/B28</f>
        <v>1.0183903330461472</v>
      </c>
      <c r="T28" s="13">
        <f>S28/$S$28</f>
        <v>1</v>
      </c>
      <c r="U28" s="13">
        <f t="shared" si="5"/>
        <v>1</v>
      </c>
      <c r="V28" s="22">
        <f t="shared" si="11"/>
        <v>1.0040412377696712</v>
      </c>
      <c r="W28" s="13">
        <f t="shared" si="6"/>
        <v>1</v>
      </c>
      <c r="X28" s="13">
        <f t="shared" si="7"/>
        <v>1.000525360910057</v>
      </c>
      <c r="Y28" s="13">
        <v>1</v>
      </c>
      <c r="Z28" s="33"/>
    </row>
    <row r="29" spans="1:26" ht="38.25" customHeight="1">
      <c r="A29" s="42" t="s">
        <v>40</v>
      </c>
      <c r="B29" s="43">
        <f>B28/16</f>
        <v>1705.5</v>
      </c>
      <c r="C29" s="16"/>
      <c r="D29" s="16"/>
      <c r="E29" s="16"/>
      <c r="F29" s="16"/>
      <c r="G29" s="16"/>
      <c r="H29" s="16"/>
      <c r="I29" s="16"/>
      <c r="J29" s="44"/>
      <c r="K29" s="16"/>
      <c r="L29" s="16"/>
      <c r="M29" s="45"/>
      <c r="N29" s="44"/>
      <c r="O29" s="46"/>
      <c r="P29" s="46"/>
      <c r="Q29" s="46"/>
      <c r="R29" s="46"/>
      <c r="S29" s="46"/>
      <c r="T29" s="47"/>
      <c r="U29" s="44"/>
      <c r="V29" s="44"/>
      <c r="W29" s="44"/>
      <c r="X29" s="16"/>
      <c r="Y29" s="16"/>
      <c r="Z29" s="16"/>
    </row>
  </sheetData>
  <sheetProtection/>
  <mergeCells count="16">
    <mergeCell ref="W1:X1"/>
    <mergeCell ref="W2:X2"/>
    <mergeCell ref="A3:X3"/>
    <mergeCell ref="A5:A7"/>
    <mergeCell ref="B5:B7"/>
    <mergeCell ref="C5:C7"/>
    <mergeCell ref="D5:D7"/>
    <mergeCell ref="E5:I5"/>
    <mergeCell ref="J5:M6"/>
    <mergeCell ref="N5:N6"/>
    <mergeCell ref="O5:T6"/>
    <mergeCell ref="V5:Z5"/>
    <mergeCell ref="E6:E7"/>
    <mergeCell ref="F6:H6"/>
    <mergeCell ref="I6:I7"/>
    <mergeCell ref="U6:X6"/>
  </mergeCells>
  <printOptions/>
  <pageMargins left="0.7874015748031497" right="0.1968503937007874" top="0.5905511811023623" bottom="0.5511811023622047" header="0.2755905511811024" footer="0.5118110236220472"/>
  <pageSetup horizontalDpi="600" verticalDpi="600" orientation="landscape" paperSize="8" scale="67" r:id="rId2"/>
  <headerFooter alignWithMargins="0">
    <oddFooter>&amp;C&amp;Z&amp;F&amp;RСтраница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Суровцева Т.В.</dc:creator>
  <cp:keywords/>
  <dc:description/>
  <cp:lastModifiedBy>User</cp:lastModifiedBy>
  <cp:lastPrinted>2016-12-09T07:35:31Z</cp:lastPrinted>
  <dcterms:created xsi:type="dcterms:W3CDTF">2005-09-10T09:08:30Z</dcterms:created>
  <dcterms:modified xsi:type="dcterms:W3CDTF">2016-12-09T07:38:16Z</dcterms:modified>
  <cp:category/>
  <cp:version/>
  <cp:contentType/>
  <cp:contentStatus/>
</cp:coreProperties>
</file>