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20730" windowHeight="11760" tabRatio="719" activeTab="6"/>
  </bookViews>
  <sheets>
    <sheet name="ТИТУЛ" sheetId="9" r:id="rId1"/>
    <sheet name="Реестр листов" sheetId="10" r:id="rId2"/>
    <sheet name="Вводная информация (1,2)" sheetId="2" r:id="rId3"/>
    <sheet name="Вводная информация (3) - ПАТЕНТ" sheetId="12" r:id="rId4"/>
    <sheet name="СВОД" sheetId="7" r:id="rId5"/>
    <sheet name="УСНО (Доходы)" sheetId="5" r:id="rId6"/>
    <sheet name="УСНО (Д-Р)" sheetId="6" r:id="rId7"/>
    <sheet name="ОСНО" sheetId="8" r:id="rId8"/>
    <sheet name="ПАТЕНТ" sheetId="13" r:id="rId9"/>
    <sheet name="ИП без сотрудников" sheetId="11" r:id="rId10"/>
    <sheet name="Библиотеки" sheetId="4" r:id="rId11"/>
    <sheet name="Расходы_НК_ст346.16" sheetId="3" r:id="rId12"/>
  </sheets>
  <definedNames>
    <definedName name="_xlnm.Print_Titles" localSheetId="11">Расходы_НК_ст346.16!$5:$5</definedName>
    <definedName name="_xlnm.Print_Area" localSheetId="11">Расходы_НК_ст346.16!$A$1:$B$49</definedName>
  </definedNames>
  <calcPr calcId="125725"/>
</workbook>
</file>

<file path=xl/calcChain.xml><?xml version="1.0" encoding="utf-8"?>
<calcChain xmlns="http://schemas.openxmlformats.org/spreadsheetml/2006/main">
  <c r="F2" i="6"/>
  <c r="D17" i="12" l="1"/>
  <c r="D16"/>
  <c r="J6" i="7" l="1"/>
  <c r="D19" i="12"/>
  <c r="D18"/>
  <c r="H25"/>
  <c r="H24"/>
  <c r="F2" i="5" l="1"/>
  <c r="N7" i="8" l="1"/>
  <c r="F33" i="4" l="1"/>
  <c r="F32"/>
  <c r="G32" l="1"/>
  <c r="H32" s="1"/>
  <c r="G33"/>
  <c r="H33" s="1"/>
  <c r="F30"/>
  <c r="F29"/>
  <c r="F27"/>
  <c r="G29" l="1"/>
  <c r="H29" s="1"/>
  <c r="G27"/>
  <c r="H27" s="1"/>
  <c r="G30"/>
  <c r="H30" s="1"/>
  <c r="O7" i="8"/>
  <c r="J29" i="7"/>
  <c r="Q35" i="2"/>
  <c r="F38" i="13"/>
  <c r="F37"/>
  <c r="J28" i="7" s="1"/>
  <c r="F36" i="13"/>
  <c r="J27" i="7" s="1"/>
  <c r="F35" i="13"/>
  <c r="J26" i="7" s="1"/>
  <c r="F34" i="13"/>
  <c r="J25" i="7" s="1"/>
  <c r="F33" i="1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7"/>
  <c r="F6"/>
  <c r="G25" i="12"/>
  <c r="G27"/>
  <c r="G24"/>
  <c r="D9"/>
  <c r="D8"/>
  <c r="I25" l="1"/>
  <c r="D30" s="1"/>
  <c r="F5" i="13"/>
  <c r="H6" s="1"/>
  <c r="I27" i="12"/>
  <c r="D31" s="1"/>
  <c r="I24"/>
  <c r="D29" s="1"/>
  <c r="H24" i="2"/>
  <c r="H6" i="7" s="1"/>
  <c r="H7" i="13" l="1"/>
  <c r="J8" i="7"/>
  <c r="F49" i="13"/>
  <c r="J41" i="7" s="1"/>
  <c r="H5" i="13"/>
  <c r="H21" i="2"/>
  <c r="K9" i="11"/>
  <c r="G9"/>
  <c r="H9"/>
  <c r="I9"/>
  <c r="J9"/>
  <c r="F9"/>
  <c r="B18" i="4" l="1"/>
  <c r="F8" i="11" l="1"/>
  <c r="F10" s="1"/>
  <c r="F7" s="1"/>
  <c r="F11" s="1"/>
  <c r="K8"/>
  <c r="K10" s="1"/>
  <c r="K7" s="1"/>
  <c r="K11" s="1"/>
  <c r="H8"/>
  <c r="H10" s="1"/>
  <c r="H7" s="1"/>
  <c r="H11" s="1"/>
  <c r="I8"/>
  <c r="I10" s="1"/>
  <c r="I7" s="1"/>
  <c r="I11" s="1"/>
  <c r="G8"/>
  <c r="G10" s="1"/>
  <c r="G7" s="1"/>
  <c r="G11" s="1"/>
  <c r="J8"/>
  <c r="J10" s="1"/>
  <c r="J7" s="1"/>
  <c r="J11" s="1"/>
  <c r="G6" i="7"/>
  <c r="P42" i="2" l="1"/>
  <c r="N14" i="8" s="1"/>
  <c r="F13" i="5"/>
  <c r="N13" s="1"/>
  <c r="P7" i="8"/>
  <c r="Q7" s="1"/>
  <c r="F7" s="1"/>
  <c r="F33" i="2"/>
  <c r="F6" i="5"/>
  <c r="F7"/>
  <c r="F10"/>
  <c r="N10" s="1"/>
  <c r="F11"/>
  <c r="N11" s="1"/>
  <c r="F15"/>
  <c r="N15" s="1"/>
  <c r="F16"/>
  <c r="N16" s="1"/>
  <c r="F17"/>
  <c r="N17" s="1"/>
  <c r="F18"/>
  <c r="N18" s="1"/>
  <c r="F19"/>
  <c r="N19" s="1"/>
  <c r="F20"/>
  <c r="F21"/>
  <c r="N21" s="1"/>
  <c r="F22"/>
  <c r="N22" s="1"/>
  <c r="F23"/>
  <c r="N23" s="1"/>
  <c r="F24"/>
  <c r="F25"/>
  <c r="N25" s="1"/>
  <c r="F26"/>
  <c r="N26" s="1"/>
  <c r="F27"/>
  <c r="N27" s="1"/>
  <c r="F28"/>
  <c r="N28" s="1"/>
  <c r="F29"/>
  <c r="N29" s="1"/>
  <c r="F30"/>
  <c r="N30" s="1"/>
  <c r="F31"/>
  <c r="N31" s="1"/>
  <c r="F32"/>
  <c r="N32" s="1"/>
  <c r="F33"/>
  <c r="N33" s="1"/>
  <c r="F34"/>
  <c r="F35"/>
  <c r="N35" s="1"/>
  <c r="G26" i="7" s="1"/>
  <c r="F36" i="5"/>
  <c r="N36" s="1"/>
  <c r="G27" i="7" s="1"/>
  <c r="F37" i="5"/>
  <c r="N37" s="1"/>
  <c r="G28" i="7" s="1"/>
  <c r="F38" i="5"/>
  <c r="N38" s="1"/>
  <c r="N6"/>
  <c r="F6" i="6"/>
  <c r="F7"/>
  <c r="F10"/>
  <c r="N10" s="1"/>
  <c r="F11"/>
  <c r="N11" s="1"/>
  <c r="F12"/>
  <c r="N12" s="1"/>
  <c r="F15"/>
  <c r="N15" s="1"/>
  <c r="F16"/>
  <c r="F17"/>
  <c r="N17" s="1"/>
  <c r="F18"/>
  <c r="N18" s="1"/>
  <c r="F19"/>
  <c r="N19" s="1"/>
  <c r="F20"/>
  <c r="N20" s="1"/>
  <c r="F21"/>
  <c r="N21" s="1"/>
  <c r="F22"/>
  <c r="N22" s="1"/>
  <c r="F23"/>
  <c r="N23" s="1"/>
  <c r="F24"/>
  <c r="N24" s="1"/>
  <c r="F25"/>
  <c r="N25" s="1"/>
  <c r="F26"/>
  <c r="N26" s="1"/>
  <c r="F27"/>
  <c r="N27" s="1"/>
  <c r="F28"/>
  <c r="N28" s="1"/>
  <c r="F29"/>
  <c r="N29" s="1"/>
  <c r="F30"/>
  <c r="N30" s="1"/>
  <c r="F31"/>
  <c r="N31" s="1"/>
  <c r="F32"/>
  <c r="N32" s="1"/>
  <c r="F33"/>
  <c r="N33" s="1"/>
  <c r="F34"/>
  <c r="N34" s="1"/>
  <c r="H25" i="7" s="1"/>
  <c r="F35" i="6"/>
  <c r="N35" s="1"/>
  <c r="H26" i="7" s="1"/>
  <c r="F36" i="6"/>
  <c r="N36" s="1"/>
  <c r="H27" i="7" s="1"/>
  <c r="F37" i="6"/>
  <c r="N37" s="1"/>
  <c r="H28" i="7" s="1"/>
  <c r="F38" i="6"/>
  <c r="N38" s="1"/>
  <c r="N7"/>
  <c r="N16"/>
  <c r="N10" i="2"/>
  <c r="N34" i="5"/>
  <c r="G25" i="7" s="1"/>
  <c r="F22"/>
  <c r="F25"/>
  <c r="F26"/>
  <c r="F27"/>
  <c r="F28"/>
  <c r="N20" i="5"/>
  <c r="N24"/>
  <c r="P38" i="2"/>
  <c r="N10" i="8" s="1"/>
  <c r="P39" i="2"/>
  <c r="P41"/>
  <c r="P43"/>
  <c r="N15" i="8" s="1"/>
  <c r="P44" i="2"/>
  <c r="P45"/>
  <c r="P46"/>
  <c r="P47"/>
  <c r="P48"/>
  <c r="P49"/>
  <c r="P50"/>
  <c r="N22" i="8" s="1"/>
  <c r="P51" i="2"/>
  <c r="P52"/>
  <c r="P53"/>
  <c r="P54"/>
  <c r="P55"/>
  <c r="P56"/>
  <c r="P57"/>
  <c r="N29" i="8" s="1"/>
  <c r="P58" i="2"/>
  <c r="P59"/>
  <c r="P60"/>
  <c r="P61"/>
  <c r="P62"/>
  <c r="P63"/>
  <c r="P64"/>
  <c r="P65"/>
  <c r="P66"/>
  <c r="N38" i="8" s="1"/>
  <c r="P34" i="2"/>
  <c r="N6" i="8" s="1"/>
  <c r="N5" s="1"/>
  <c r="P35" i="2"/>
  <c r="N18"/>
  <c r="N17"/>
  <c r="F20"/>
  <c r="N19"/>
  <c r="N16"/>
  <c r="N37" i="8" l="1"/>
  <c r="Q65" i="2"/>
  <c r="O37" i="8"/>
  <c r="N33"/>
  <c r="Q61" i="2"/>
  <c r="O33" i="8"/>
  <c r="P33" s="1"/>
  <c r="N36"/>
  <c r="O36"/>
  <c r="Q64" i="2"/>
  <c r="N35" i="8"/>
  <c r="O35"/>
  <c r="Q63" i="2"/>
  <c r="N34" i="8"/>
  <c r="O34"/>
  <c r="Q62" i="2"/>
  <c r="N13" i="8"/>
  <c r="O13"/>
  <c r="Q41" i="2"/>
  <c r="N25" i="8"/>
  <c r="Q53" i="2"/>
  <c r="O25" i="8"/>
  <c r="P25" s="1"/>
  <c r="N21"/>
  <c r="O21"/>
  <c r="P21" s="1"/>
  <c r="Q49" i="2"/>
  <c r="N17" i="8"/>
  <c r="Q45" i="2"/>
  <c r="O17" i="8"/>
  <c r="P17" s="1"/>
  <c r="N32"/>
  <c r="O32"/>
  <c r="P32" s="1"/>
  <c r="Q32" s="1"/>
  <c r="F32" s="1"/>
  <c r="Q60" i="2"/>
  <c r="N28" i="8"/>
  <c r="O28"/>
  <c r="P28" s="1"/>
  <c r="Q28" s="1"/>
  <c r="Q56" i="2"/>
  <c r="N24" i="8"/>
  <c r="O24"/>
  <c r="P24" s="1"/>
  <c r="Q24" s="1"/>
  <c r="F24" s="1"/>
  <c r="Q52" i="2"/>
  <c r="N20" i="8"/>
  <c r="O20"/>
  <c r="P20" s="1"/>
  <c r="Q20" s="1"/>
  <c r="Q48" i="2"/>
  <c r="N16" i="8"/>
  <c r="O16"/>
  <c r="P16" s="1"/>
  <c r="Q16" s="1"/>
  <c r="F16" s="1"/>
  <c r="Q44" i="2"/>
  <c r="N31" i="8"/>
  <c r="O31"/>
  <c r="P31" s="1"/>
  <c r="Q59" i="2"/>
  <c r="N27" i="8"/>
  <c r="O27"/>
  <c r="P27" s="1"/>
  <c r="Q55" i="2"/>
  <c r="N23" i="8"/>
  <c r="O23"/>
  <c r="P23" s="1"/>
  <c r="Q51" i="2"/>
  <c r="N19" i="8"/>
  <c r="O19"/>
  <c r="P19" s="1"/>
  <c r="Q47" i="2"/>
  <c r="N30" i="8"/>
  <c r="Q58" i="2"/>
  <c r="O30" i="8"/>
  <c r="P30" s="1"/>
  <c r="N26"/>
  <c r="O26"/>
  <c r="P26" s="1"/>
  <c r="Q54" i="2"/>
  <c r="N18" i="8"/>
  <c r="O18"/>
  <c r="P18" s="1"/>
  <c r="Q46" i="2"/>
  <c r="N11" i="8"/>
  <c r="O11"/>
  <c r="Q39" i="2"/>
  <c r="Q34"/>
  <c r="O6" i="8"/>
  <c r="P6" s="1"/>
  <c r="Q57" i="2"/>
  <c r="O29" i="8"/>
  <c r="P29" s="1"/>
  <c r="Q29" s="1"/>
  <c r="F29" s="1"/>
  <c r="Q43" i="2"/>
  <c r="O15" i="8"/>
  <c r="P15" s="1"/>
  <c r="Q15" s="1"/>
  <c r="F15" s="1"/>
  <c r="D10" i="12"/>
  <c r="H10" s="1"/>
  <c r="J5" i="7"/>
  <c r="Q42" i="2"/>
  <c r="O14" i="8"/>
  <c r="P14" s="1"/>
  <c r="O38"/>
  <c r="P38" s="1"/>
  <c r="Q38" s="1"/>
  <c r="F38" s="1"/>
  <c r="Q66" i="2"/>
  <c r="Q50"/>
  <c r="O22" i="8"/>
  <c r="P22" s="1"/>
  <c r="Q22" s="1"/>
  <c r="F22" s="1"/>
  <c r="O10"/>
  <c r="P10" s="1"/>
  <c r="Q10" s="1"/>
  <c r="F10" s="1"/>
  <c r="Q38" i="2"/>
  <c r="F37"/>
  <c r="P33"/>
  <c r="Q33" s="1"/>
  <c r="F15"/>
  <c r="N15" s="1"/>
  <c r="N6" s="1"/>
  <c r="R32" i="8"/>
  <c r="R16"/>
  <c r="R20"/>
  <c r="O5"/>
  <c r="Q23"/>
  <c r="F23" s="1"/>
  <c r="R7"/>
  <c r="G29" i="7"/>
  <c r="Q31" i="8"/>
  <c r="Q19"/>
  <c r="F19" s="1"/>
  <c r="R28"/>
  <c r="Q17"/>
  <c r="F17" s="1"/>
  <c r="F14" i="6"/>
  <c r="N14" s="1"/>
  <c r="F14" i="5"/>
  <c r="N14" s="1"/>
  <c r="F29" i="7"/>
  <c r="F30" s="1"/>
  <c r="F13" i="6"/>
  <c r="N13" s="1"/>
  <c r="P13" i="8"/>
  <c r="P40" i="2"/>
  <c r="N12" i="8" s="1"/>
  <c r="F12" i="5"/>
  <c r="N12" s="1"/>
  <c r="F8" i="7"/>
  <c r="H35" i="2"/>
  <c r="H34"/>
  <c r="H33"/>
  <c r="Q18" i="8"/>
  <c r="F18" s="1"/>
  <c r="P5"/>
  <c r="Q6"/>
  <c r="P35"/>
  <c r="Q35" s="1"/>
  <c r="F35" s="1"/>
  <c r="P34"/>
  <c r="F5" i="6"/>
  <c r="N6"/>
  <c r="N5" s="1"/>
  <c r="P11" i="8"/>
  <c r="Q11" s="1"/>
  <c r="F11" s="1"/>
  <c r="P37"/>
  <c r="Q37" s="1"/>
  <c r="F37" s="1"/>
  <c r="F5" i="5"/>
  <c r="N7"/>
  <c r="N5" s="1"/>
  <c r="F49" s="1"/>
  <c r="P36" i="8"/>
  <c r="Q36" s="1"/>
  <c r="F36" s="1"/>
  <c r="Q33"/>
  <c r="F33" s="1"/>
  <c r="D28" i="12" l="1"/>
  <c r="F40" i="13" s="1"/>
  <c r="Q30" i="8"/>
  <c r="F30" s="1"/>
  <c r="Q26"/>
  <c r="F26" s="1"/>
  <c r="Q21"/>
  <c r="F21" s="1"/>
  <c r="Q27"/>
  <c r="F27" s="1"/>
  <c r="R24"/>
  <c r="Q25"/>
  <c r="F25" s="1"/>
  <c r="F31"/>
  <c r="F28"/>
  <c r="F20"/>
  <c r="H2"/>
  <c r="F6"/>
  <c r="F75" i="2"/>
  <c r="F74"/>
  <c r="Q40"/>
  <c r="O12" i="8"/>
  <c r="P12" s="1"/>
  <c r="Q12" s="1"/>
  <c r="F12" s="1"/>
  <c r="P37" i="2"/>
  <c r="N9" i="8" s="1"/>
  <c r="N8" s="1"/>
  <c r="N39" s="1"/>
  <c r="N41" s="1"/>
  <c r="F9" i="13"/>
  <c r="F36" i="2"/>
  <c r="H63" s="1"/>
  <c r="F9" i="6"/>
  <c r="N9" s="1"/>
  <c r="N8" s="1"/>
  <c r="N39" s="1"/>
  <c r="F9" i="5"/>
  <c r="N9" s="1"/>
  <c r="N8" s="1"/>
  <c r="N39" s="1"/>
  <c r="R21" i="8"/>
  <c r="R17"/>
  <c r="R23"/>
  <c r="R29"/>
  <c r="R25"/>
  <c r="R10"/>
  <c r="H29" i="7"/>
  <c r="F49" i="6"/>
  <c r="R15" i="8"/>
  <c r="R31"/>
  <c r="R27"/>
  <c r="R19"/>
  <c r="R18"/>
  <c r="Q14"/>
  <c r="F14" s="1"/>
  <c r="R30"/>
  <c r="R38"/>
  <c r="Q13"/>
  <c r="I26" i="7"/>
  <c r="I27"/>
  <c r="F40"/>
  <c r="R37" i="8"/>
  <c r="F31" i="7"/>
  <c r="F32" s="1"/>
  <c r="F41"/>
  <c r="R33" i="8"/>
  <c r="N40" i="5"/>
  <c r="F48" s="1"/>
  <c r="R22" i="8"/>
  <c r="I28" i="7"/>
  <c r="Q5" i="8"/>
  <c r="R6"/>
  <c r="R36"/>
  <c r="G8" i="7"/>
  <c r="H7" i="5"/>
  <c r="H5"/>
  <c r="H6"/>
  <c r="R11" i="8"/>
  <c r="H8" i="7"/>
  <c r="H5" i="6"/>
  <c r="H7"/>
  <c r="H6"/>
  <c r="Q34" i="8"/>
  <c r="F34" s="1"/>
  <c r="R35"/>
  <c r="R26"/>
  <c r="J24" i="7" l="1"/>
  <c r="J30" s="1"/>
  <c r="J31" s="1"/>
  <c r="J32" s="1"/>
  <c r="F48" i="13"/>
  <c r="J40" i="7" s="1"/>
  <c r="R13" i="8"/>
  <c r="F13"/>
  <c r="P36" i="2"/>
  <c r="P67" s="1"/>
  <c r="F73" s="1"/>
  <c r="F39" i="7" s="1"/>
  <c r="O9" i="8"/>
  <c r="P9" s="1"/>
  <c r="Q9" s="1"/>
  <c r="H42" i="2"/>
  <c r="R12" i="8"/>
  <c r="Q37" i="2"/>
  <c r="F8" i="5"/>
  <c r="H17" s="1"/>
  <c r="F8" i="6"/>
  <c r="H9" s="1"/>
  <c r="H49" i="2"/>
  <c r="F8" i="13"/>
  <c r="O8" i="8"/>
  <c r="O39" s="1"/>
  <c r="F9" i="7"/>
  <c r="F10" s="1"/>
  <c r="H62" i="2"/>
  <c r="H41"/>
  <c r="H45"/>
  <c r="H51"/>
  <c r="H64"/>
  <c r="H65"/>
  <c r="H50"/>
  <c r="H55"/>
  <c r="F67"/>
  <c r="H36"/>
  <c r="H37"/>
  <c r="H56"/>
  <c r="H53"/>
  <c r="H60"/>
  <c r="H48"/>
  <c r="H38"/>
  <c r="H40"/>
  <c r="H52"/>
  <c r="H43"/>
  <c r="H61"/>
  <c r="H46"/>
  <c r="H57"/>
  <c r="H47"/>
  <c r="H44"/>
  <c r="H39"/>
  <c r="H58"/>
  <c r="H59"/>
  <c r="H66"/>
  <c r="H54"/>
  <c r="H16" i="5"/>
  <c r="H26"/>
  <c r="R14" i="8"/>
  <c r="I29" i="7"/>
  <c r="F49" i="8"/>
  <c r="N40" i="6"/>
  <c r="F48" s="1"/>
  <c r="N41" i="5"/>
  <c r="G23" i="7"/>
  <c r="G30" s="1"/>
  <c r="G31" s="1"/>
  <c r="G32" s="1"/>
  <c r="F40" i="5"/>
  <c r="I25" i="7"/>
  <c r="F5" i="8"/>
  <c r="I8" i="7" s="1"/>
  <c r="H41"/>
  <c r="R5" i="8"/>
  <c r="R34"/>
  <c r="G41" i="7"/>
  <c r="H31" i="5" l="1"/>
  <c r="H11"/>
  <c r="H24"/>
  <c r="H18"/>
  <c r="H30"/>
  <c r="H9"/>
  <c r="Q8" i="8"/>
  <c r="Q39" s="1"/>
  <c r="Q40" s="1"/>
  <c r="F9"/>
  <c r="F8" s="1"/>
  <c r="R9"/>
  <c r="H14" i="6"/>
  <c r="H32"/>
  <c r="Q36" i="2"/>
  <c r="F72"/>
  <c r="F38" i="7" s="1"/>
  <c r="H20" i="6"/>
  <c r="H37"/>
  <c r="P8" i="8"/>
  <c r="P39" s="1"/>
  <c r="P41" s="1"/>
  <c r="I20" i="7" s="1"/>
  <c r="H17" i="6"/>
  <c r="Q67" i="2"/>
  <c r="H19" i="5"/>
  <c r="H23"/>
  <c r="H37"/>
  <c r="H33"/>
  <c r="H8"/>
  <c r="H13"/>
  <c r="H28"/>
  <c r="H14"/>
  <c r="H21"/>
  <c r="H36"/>
  <c r="H25"/>
  <c r="G9" i="7"/>
  <c r="G10" s="1"/>
  <c r="G11" s="1"/>
  <c r="H22" i="5"/>
  <c r="H10"/>
  <c r="H35"/>
  <c r="F39"/>
  <c r="F41" s="1"/>
  <c r="H27"/>
  <c r="H32"/>
  <c r="H34"/>
  <c r="H20"/>
  <c r="H15"/>
  <c r="H12"/>
  <c r="H29"/>
  <c r="H38"/>
  <c r="H24" i="6"/>
  <c r="H11"/>
  <c r="H19"/>
  <c r="H26"/>
  <c r="H25"/>
  <c r="H36"/>
  <c r="H29"/>
  <c r="H21"/>
  <c r="H18"/>
  <c r="H16"/>
  <c r="H28"/>
  <c r="H30"/>
  <c r="H22"/>
  <c r="H27"/>
  <c r="H15"/>
  <c r="H12"/>
  <c r="H10"/>
  <c r="H35"/>
  <c r="H9" i="13"/>
  <c r="J9" i="7"/>
  <c r="J10" s="1"/>
  <c r="J11" s="1"/>
  <c r="H8" i="6"/>
  <c r="F39"/>
  <c r="H31"/>
  <c r="H23"/>
  <c r="H33"/>
  <c r="H13"/>
  <c r="H34"/>
  <c r="H38"/>
  <c r="F11" i="7"/>
  <c r="H25" i="13"/>
  <c r="H38"/>
  <c r="H10"/>
  <c r="H28"/>
  <c r="H12"/>
  <c r="H31"/>
  <c r="H35"/>
  <c r="H17"/>
  <c r="H27"/>
  <c r="H22"/>
  <c r="H37"/>
  <c r="H20"/>
  <c r="H21"/>
  <c r="H13"/>
  <c r="F39"/>
  <c r="F41" s="1"/>
  <c r="H33"/>
  <c r="H32"/>
  <c r="H16"/>
  <c r="H15"/>
  <c r="H23"/>
  <c r="H30"/>
  <c r="H19"/>
  <c r="H29"/>
  <c r="H24"/>
  <c r="H8"/>
  <c r="H34"/>
  <c r="H11"/>
  <c r="H36"/>
  <c r="H14"/>
  <c r="H26"/>
  <c r="H18"/>
  <c r="F47" i="5"/>
  <c r="F46"/>
  <c r="H6" i="8"/>
  <c r="N41" i="6"/>
  <c r="G40" i="7"/>
  <c r="H7" i="8"/>
  <c r="H5"/>
  <c r="H23" i="7"/>
  <c r="H30" s="1"/>
  <c r="H31" s="1"/>
  <c r="H32" s="1"/>
  <c r="F40" i="6"/>
  <c r="R8" i="8" l="1"/>
  <c r="O40"/>
  <c r="O41" s="1"/>
  <c r="F40"/>
  <c r="I9" i="7" s="1"/>
  <c r="I10" s="1"/>
  <c r="I11" s="1"/>
  <c r="H34" i="8"/>
  <c r="F46" i="13"/>
  <c r="J38" i="7" s="1"/>
  <c r="F47" i="13"/>
  <c r="J39" i="7" s="1"/>
  <c r="F47" i="6"/>
  <c r="H39" i="7" s="1"/>
  <c r="F46" i="6"/>
  <c r="H38" i="7" s="1"/>
  <c r="H9" i="8"/>
  <c r="I41" i="7"/>
  <c r="H9"/>
  <c r="H10" s="1"/>
  <c r="H11" s="1"/>
  <c r="H15" s="1"/>
  <c r="F41" i="6"/>
  <c r="Q41" i="8"/>
  <c r="G38" i="7"/>
  <c r="H40"/>
  <c r="H8" i="8"/>
  <c r="H31"/>
  <c r="H21"/>
  <c r="H15"/>
  <c r="H25"/>
  <c r="H19"/>
  <c r="H29"/>
  <c r="H23"/>
  <c r="H13"/>
  <c r="H27"/>
  <c r="H17"/>
  <c r="H28"/>
  <c r="H24"/>
  <c r="H12"/>
  <c r="H20"/>
  <c r="H16"/>
  <c r="H32"/>
  <c r="H30"/>
  <c r="H10"/>
  <c r="H14"/>
  <c r="H11"/>
  <c r="H26"/>
  <c r="H18"/>
  <c r="H38"/>
  <c r="H22"/>
  <c r="H33"/>
  <c r="H35"/>
  <c r="H36"/>
  <c r="H37"/>
  <c r="F39"/>
  <c r="G39" i="7"/>
  <c r="J15" l="1"/>
  <c r="I15"/>
  <c r="G15"/>
  <c r="I21"/>
  <c r="I30" s="1"/>
  <c r="I31" s="1"/>
  <c r="I32" s="1"/>
  <c r="F48" i="8"/>
  <c r="I40" i="7" s="1"/>
  <c r="F41" i="8"/>
  <c r="F47" s="1"/>
  <c r="I39" i="7" s="1"/>
  <c r="F46" i="8" l="1"/>
  <c r="I38" i="7" s="1"/>
</calcChain>
</file>

<file path=xl/comments1.xml><?xml version="1.0" encoding="utf-8"?>
<comments xmlns="http://schemas.openxmlformats.org/spreadsheetml/2006/main">
  <authors>
    <author>Sozonov Vladimir</author>
  </authors>
  <commentList>
    <comment ref="J32" authorId="0">
      <text>
        <r>
          <rPr>
            <b/>
            <sz val="9"/>
            <color indexed="81"/>
            <rFont val="Tahoma"/>
            <family val="2"/>
            <charset val="204"/>
          </rPr>
          <t>наличие
документов</t>
        </r>
      </text>
    </comment>
    <comment ref="L32" authorId="0">
      <text>
        <r>
          <rPr>
            <b/>
            <sz val="9"/>
            <color indexed="81"/>
            <rFont val="Tahoma"/>
            <family val="2"/>
            <charset val="204"/>
          </rPr>
          <t>доля НДС в документах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2" authorId="0">
      <text>
        <r>
          <rPr>
            <b/>
            <sz val="9"/>
            <color indexed="81"/>
            <rFont val="Tahoma"/>
            <family val="2"/>
            <charset val="204"/>
          </rPr>
          <t>доля товаров с НДС=10%</t>
        </r>
      </text>
    </comment>
  </commentList>
</comments>
</file>

<file path=xl/comments2.xml><?xml version="1.0" encoding="utf-8"?>
<comments xmlns="http://schemas.openxmlformats.org/spreadsheetml/2006/main">
  <authors>
    <author>Sozonov Vladimir</author>
  </authors>
  <commentLis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ИП - ДА
ООО - НЕТ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площадь более 50м2 - НЕТ</t>
        </r>
      </text>
    </comment>
  </commentList>
</comments>
</file>

<file path=xl/comments3.xml><?xml version="1.0" encoding="utf-8"?>
<comments xmlns="http://schemas.openxmlformats.org/spreadsheetml/2006/main">
  <authors>
    <author>Sozonov Vladimir</author>
  </authors>
  <commentList>
    <comment ref="D30" authorId="0">
      <text>
        <r>
          <rPr>
            <b/>
            <sz val="9"/>
            <color indexed="81"/>
            <rFont val="Tahoma"/>
            <family val="2"/>
            <charset val="204"/>
          </rPr>
          <t>не менее</t>
        </r>
      </text>
    </comment>
  </commentList>
</comments>
</file>

<file path=xl/sharedStrings.xml><?xml version="1.0" encoding="utf-8"?>
<sst xmlns="http://schemas.openxmlformats.org/spreadsheetml/2006/main" count="1099" uniqueCount="362">
  <si>
    <t>http://www.consultant.ru/document/cons_doc_LAW_28165/2428f19fbea7040de2388dd179c39e787cc0d07d/</t>
  </si>
  <si>
    <t>Статья расходов</t>
  </si>
  <si>
    <t>2.1.</t>
  </si>
  <si>
    <t>2.2.</t>
  </si>
  <si>
    <t>2.3.</t>
  </si>
  <si>
    <t>23.1.</t>
  </si>
  <si>
    <t>32.1.</t>
  </si>
  <si>
    <t>№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</si>
  <si>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 (с учетом положений пунктов 3 и 4 настоящей статьи);
(пп. 1 в ред. Федерального закона от 17.05.2007 N 85-ФЗ)</t>
  </si>
  <si>
    <t>расходы на приобретение нематериальных активов, а также создание нематериальных активов самим налогоплательщиком (с учетом положений пунктов 3 и 4 настоящей статьи);
(пп. 2 в ред. Федерального закона от 21.07.2005 N 101-ФЗ)</t>
  </si>
  <si>
    <t>расходы на приобретение исключительных прав на изобретения, полезные модели, промышленные образцы, программы для электронных вычислительных машин, базы данных, топологии интегральных микросхем, секреты производства (ноу-хау), а также прав на использование указанных результатов интеллектуальной деятельности на основании лицензионного договора;</t>
  </si>
  <si>
    <t>расходы на патентование и (или) оплату правовых услуг по получению правовой охраны результатов интеллектуальной деятельности, включая средства индивидуализации;</t>
  </si>
  <si>
    <t>расходы на научные исследования и (или) опытно-конструкторские разработки, признаваемые таковыми в соответствии со статьей 262 настоящего Кодекса;</t>
  </si>
  <si>
    <t>расходы на ремонт основных средств (в том числе арендованных);</t>
  </si>
  <si>
    <t>арендные (в том числе лизинговые) платежи за арендуемое (в том числе принятое в лизинг) имущество;
(пп. 4 в ред. Федерального закона от 31.12.2002 N 191-ФЗ)</t>
  </si>
  <si>
    <t>материальные расходы;</t>
  </si>
  <si>
    <t>расходы на оплату труда, выплату пособий по временной нетрудоспособности в соответствии с законодательством Российской Федерации;</t>
  </si>
  <si>
    <t>расходы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Федерации;
(в ред. Федеральных законов от 17.05.2007 N 85-ФЗ, от 22.07.2008 N 155-ФЗ, от 24.07.2009 N 213-ФЗ)
(см. текст в предыдущей редакции)</t>
  </si>
  <si>
    <t>суммы налога на добавленную стоимость по оплаченным товарам (работам, услугам), приобретенным налогоплательщиком и подлежащим включению в состав расходов в соответствии с настоящей статьей и статьей 346.17 настоящего Кодекса;
(пп. 8 в ред. Федерального закона от 21.07.2005 N 101-ФЗ)
(см. текст в предыдущей редакции)</t>
  </si>
  <si>
    <t>проценты, уплачиваемые за предоставление в пользование денежных средств (кредитов, займов), а также расходы, связанные с оплатой услуг, оказываемых кредитными организациями, в том числе связанные с продажей иностранной валюты при взыскании налога, сбора, пеней и штрафа за счет имущества налогоплательщика в порядке, предусмотренном статьей 46 настоящего Кодекса;</t>
  </si>
  <si>
    <t>расходы на обеспечение пожарной безопасности налогоплательщика в соответствии с законодательством Российской Федерации, расходы на услуги по охране имущества, обслуживанию охранно-пожарной сигнализации, расходы на приобретение услуг пожарной охраны и иных услуг охранной деятельности;</t>
  </si>
  <si>
    <t>суммы таможенных платежей, уплаченные при ввозе товаров на территорию Российской Федерации и иные территории, находящиеся под ее юрисдикцией, и не подлежащие возврату налогоплательщику в соответствии с таможенным законодательством Таможенного союза и законодательством Российской Федерации о таможенном деле;</t>
  </si>
  <si>
    <t>расходы на содержание служебного транспорта, а также расходы на компенсацию за использование для служебных поездок личных легковых автомобилей и мотоциклов в пределах норм, установленных Правительством Российской Федерации;</t>
  </si>
  <si>
    <t>расходы на командировки, в частности на:
проезд работника к месту командировки и обратно к месту постоянной работы;
наем жилого помещения. По этой статье расходов подлежат возмещению также расходы работника на оплату дополнительных услуг, оказываемых в гостиницах (за исключением расходов на обслуживание в барах и ресторанах, расходов на обслуживание в номере, расходов за пользование рекреационно-оздоровительными объектами);
суточные или полевое довольствие;
оформление и выдачу виз, паспортов, ваучеров, приглашений и иных аналогичных документов;
консульские, аэродромные сборы, сборы за право въезда, прохода, транзита автомобильного и иного транспорта, за пользование морскими каналами, другими подобными сооружениями и иные аналогичные платежи и сборы;</t>
  </si>
  <si>
    <t>плату государственному и (или) частному нотариусу за нотариальное оформление документов. При этом такие расходы принимаются в пределах тарифов, утвержденных в установленном порядке;</t>
  </si>
  <si>
    <t>расходы на бухгалтерские, аудиторские и юридические услуги;</t>
  </si>
  <si>
    <t>расходы на публикацию бухгалтерской (финансовой) отчетности, а также на публикацию и иное раскрытие другой информации, если законодательством Российской Федерации на налогоплательщика возложена обязанность осуществлять их публикацию (раскрытие);</t>
  </si>
  <si>
    <t>расходы на канцелярские товары;</t>
  </si>
  <si>
    <t>расходы на почтовые, телефонные, телеграфные и другие подобные услуги, расходы на оплату услуг связи;</t>
  </si>
  <si>
    <t>расходы, связанные с приобретением права на использование программ для ЭВМ и баз данных по договорам с правообладателем (по лицензионным соглашениям). К указанным расходам относятся также расходы на обновление программ для ЭВМ и баз данных;</t>
  </si>
  <si>
    <t>расходы на рекламу производимых (приобретенных) и (или) реализуемых товаров (работ, услуг), товарного знака и знака обслуживания;</t>
  </si>
  <si>
    <t>расходы на подготовку и освоение новых производств, цехов и агрегатов;</t>
  </si>
  <si>
    <t>суммы налогов и сборов, уплаченные в соответствии с законодательством о налогах и сборах, за исключением налога, уплаченного в соответствии с настоящей главой, и налога на добавленную стоимость, уплаченного в бюджет в соответствии с пунктом 5 статьи 173 настоящего Кодекса;</t>
  </si>
  <si>
    <t>расходы по оплате стоимости товаров, приобретенных для дальнейшей реализации (уменьшенные на величину расходов, указанных в подпункте 8 настоящего пункта), а также расходы, связанные с приобретением и реализацией указанных товаров, в том числе расходы по хранению, обслуживанию и транспортировке товаров;</t>
  </si>
  <si>
    <t>расходы в виде стоимости имущества (включая денежные средства), предназначенного для использования в целях предупреждения и предотвращения распространения, а также диагностики и лечения новой коронавирусной инфекции, безвозмездно переданного медицинским организациям, являющимся некоммерческими организациями, органам государственной власти и управления и (или) органам местного самоуправления, государственным и муниципальным учреждениям, государственным и муниципальным унитарным предприятиям;</t>
  </si>
  <si>
    <t>расходы на выплату комиссионных, агентских вознаграждений и вознаграждений по договорам поручения;
(пп. 24 введен Федеральным законом от 21.07.2005 N 101-ФЗ)</t>
  </si>
  <si>
    <t>расходы на оказание услуг по гарантийному ремонту и обслуживанию;
(пп. 25 введен Федеральным законом от 21.07.2005 N 101-ФЗ)</t>
  </si>
  <si>
    <t>расходы на подтверждение соответствия продукции или иных объектов, процессов производства, эксплуатации, хранения, перевозки, реализации и утилизации, выполнения работ или оказания услуг требованиям технических регламентов, положениям стандартов или условиям договоров;</t>
  </si>
  <si>
    <t>расходы на проведение (в случаях, установленных законодательством Российской Федерации) обязательной оценки в целях контроля за правильностью уплаты налогов в случае возникновения спора об исчислении налоговой базы;</t>
  </si>
  <si>
    <t>плата за предоставление информации о зарегистрированных правах;</t>
  </si>
  <si>
    <t>расходы на оплату услуг специализированных организаций по изготовлению документов кадастрового и технического учета (инвентаризации) объектов недвижимости (в том числе правоустанавливающих документов на земельные участки и документов о межевании земельных участков);</t>
  </si>
  <si>
    <t>расходы на оплату услуг специализированных организаций по проведению экспертизы, обследований, выдаче заключений и предоставлению иных документов, наличие которых обязательно для получения лицензии (разрешения) на осуществление конкретного вида деятельности;</t>
  </si>
  <si>
    <t>судебные расходы и арбитражные сборы;</t>
  </si>
  <si>
    <t>периодические (текущие) платежи за пользование правами на результаты интеллектуальной деятельности и правами на средства индивидуализации (в частности, правами, возникающими из патентов на изобретения, полезные модели, промышленные образцы);</t>
  </si>
  <si>
    <t>вступительные, членские и целевые взносы, уплачиваемые в соответствии с Федеральным законом от 1 декабря 2007 года N 315-ФЗ "О саморегулируемых организациях";</t>
  </si>
  <si>
    <t>расходы на проведение независимой оценки квалификации на соответствие требованиям к квалификации, подготовку и переподготовку кадров, состоящих в штате налогоплательщика, на договорной основе в порядке, предусмотренном пунктом 3 статьи 264 настоящего Кодекса;</t>
  </si>
  <si>
    <t>утратил силу с 1 января 2013 года. - Федеральный закон от 25.06.2012 N 94-ФЗ;</t>
  </si>
  <si>
    <t>расходы на обслуживание контрольно-кассовой техники;</t>
  </si>
  <si>
    <t>расходы по вывозу твердых бытовых отходов;</t>
  </si>
  <si>
    <t>сумму платы в счет возмещения вреда, причиняемого автомобильным дорогам общего пользования федерального значения транспортными средствами, имеющими разрешенную максимальную массу свыше 12 тонн, зарегистрированными в реестре транспортных средств системы взимания платы.</t>
  </si>
  <si>
    <t>обязательные отчисления (взносы) застройщиков в компенсационный фонд, формируемый в соответствии с Федеральным законом от 29 июля 2017 года N 218-ФЗ "О публично-правовой компании по защите прав граждан - участников долевого строительства при несостоятельности (банкротстве) застройщиков и о внесении изменений в отдельные законодательные акты Российской Федерации";</t>
  </si>
  <si>
    <t>расходы на дезинфекцию помещений и приобретение приборов, лабораторного оборудования, спецодежды и других средств индивидуальной и коллективной защиты для выполнения санитарно-эпидемиологических и гигиенических требований органов государственной власти и органов местного самоуправления, их должностных лиц в связи с распространением новой коронавирусной инфекции.</t>
  </si>
  <si>
    <t>Компания</t>
  </si>
  <si>
    <t>Показатель</t>
  </si>
  <si>
    <t>Значение</t>
  </si>
  <si>
    <t>Доходы за год</t>
  </si>
  <si>
    <t>Да</t>
  </si>
  <si>
    <t>Бухгалтерская остаточная стоимость ОС</t>
  </si>
  <si>
    <t>Средняя численность работников</t>
  </si>
  <si>
    <t>чел</t>
  </si>
  <si>
    <t>Доля других организаций в уставном капитале</t>
  </si>
  <si>
    <t>%</t>
  </si>
  <si>
    <t>Да/Нет</t>
  </si>
  <si>
    <t>Вид деятельности (основной)</t>
  </si>
  <si>
    <t>-</t>
  </si>
  <si>
    <t>Не более</t>
  </si>
  <si>
    <t>млн. руб.</t>
  </si>
  <si>
    <t>чел.</t>
  </si>
  <si>
    <t>% в УК</t>
  </si>
  <si>
    <t>Нет филиалов</t>
  </si>
  <si>
    <t>Критерии</t>
  </si>
  <si>
    <t>ДА</t>
  </si>
  <si>
    <t>НЕТ</t>
  </si>
  <si>
    <t>ООО</t>
  </si>
  <si>
    <t>ИП</t>
  </si>
  <si>
    <t>тыс. руб.</t>
  </si>
  <si>
    <t>Организационно-правовая форма (ОПФ)</t>
  </si>
  <si>
    <t>Информация о компании</t>
  </si>
  <si>
    <t>Общественное питание</t>
  </si>
  <si>
    <t>Виды деятельности</t>
  </si>
  <si>
    <t>Транспортные услуги</t>
  </si>
  <si>
    <t>Основной вид деятельности</t>
  </si>
  <si>
    <t>Розничная торговля</t>
  </si>
  <si>
    <t>Прогнозные данные за 2020г</t>
  </si>
  <si>
    <t>Прогноз доходов и расходов за 2020г</t>
  </si>
  <si>
    <t>Доходы</t>
  </si>
  <si>
    <t>Ед. изм.</t>
  </si>
  <si>
    <t>Расходы</t>
  </si>
  <si>
    <t>2.4.</t>
  </si>
  <si>
    <t>2.5.</t>
  </si>
  <si>
    <t>2.6.</t>
  </si>
  <si>
    <t>2.7.</t>
  </si>
  <si>
    <t>2.8.</t>
  </si>
  <si>
    <t>2.9.</t>
  </si>
  <si>
    <t>2.10.</t>
  </si>
  <si>
    <t>2.11.</t>
  </si>
  <si>
    <t>отчисления от ФОТ персонала</t>
  </si>
  <si>
    <t>амортизация основных средств</t>
  </si>
  <si>
    <t>содержание собственного транспорта (ремонт)</t>
  </si>
  <si>
    <t>содержание собственного транспорта (топливо и ГСМ)</t>
  </si>
  <si>
    <t>аренда помещений</t>
  </si>
  <si>
    <t>аренда оборудования</t>
  </si>
  <si>
    <t>аренда транспорта</t>
  </si>
  <si>
    <t>аренда з/участков</t>
  </si>
  <si>
    <t>ремонт основных средств (в т.ч. арендованных)</t>
  </si>
  <si>
    <t>ремонт оборудования</t>
  </si>
  <si>
    <t>тепло-, водо-, энергоснабжение, вывоз ТКО</t>
  </si>
  <si>
    <t>командировки</t>
  </si>
  <si>
    <t>услуги связи и интернет</t>
  </si>
  <si>
    <t>расходы на услуги банка</t>
  </si>
  <si>
    <t>прочие расходы</t>
  </si>
  <si>
    <t>2.12.</t>
  </si>
  <si>
    <t>2.13.</t>
  </si>
  <si>
    <t>2.14.</t>
  </si>
  <si>
    <t>2.15.</t>
  </si>
  <si>
    <t>2.16.</t>
  </si>
  <si>
    <t>2.17.</t>
  </si>
  <si>
    <t>расходы на рекламу</t>
  </si>
  <si>
    <t>расходы на ведение бухгалтерского учета</t>
  </si>
  <si>
    <t>прочие услуги третьих лиц и компаний</t>
  </si>
  <si>
    <t>2.18.</t>
  </si>
  <si>
    <t>2.19.</t>
  </si>
  <si>
    <t>2.20.</t>
  </si>
  <si>
    <t>услуги транспорта третьих лиц</t>
  </si>
  <si>
    <t>2.21.</t>
  </si>
  <si>
    <t>2.22.</t>
  </si>
  <si>
    <t>проценты по кредитам банков</t>
  </si>
  <si>
    <t>налог ЕНВД</t>
  </si>
  <si>
    <t>налог на имущество</t>
  </si>
  <si>
    <t>налог на землю</t>
  </si>
  <si>
    <t>1.1.</t>
  </si>
  <si>
    <t>1.2.</t>
  </si>
  <si>
    <t>доходы от основной деятельности</t>
  </si>
  <si>
    <t>доходы от прочей деятельности (продажа имущества, прочие услуги и тп)</t>
  </si>
  <si>
    <t>2.23.</t>
  </si>
  <si>
    <t>2.24.</t>
  </si>
  <si>
    <t>2.25.</t>
  </si>
  <si>
    <t>2.26.</t>
  </si>
  <si>
    <t>2.27.</t>
  </si>
  <si>
    <t>Чистая прибыль</t>
  </si>
  <si>
    <t>Структура, %</t>
  </si>
  <si>
    <t>Рентабельность продаж по чистой прибыли</t>
  </si>
  <si>
    <t>Рентабельность затрат по чистой прибыли</t>
  </si>
  <si>
    <t>2020г (прогноз)</t>
  </si>
  <si>
    <t>ИНФС (2019г)</t>
  </si>
  <si>
    <t>Рентабельность проданных товаров и услуг</t>
  </si>
  <si>
    <t>Налоговая нагрузка</t>
  </si>
  <si>
    <t>Фискальная нагрузка по страховым взносам, %</t>
  </si>
  <si>
    <t>Показатели рентабельности и налоговой нагрузки</t>
  </si>
  <si>
    <t>прочие налоги</t>
  </si>
  <si>
    <t>2.28.</t>
  </si>
  <si>
    <t>Критерии доступности УСНО</t>
  </si>
  <si>
    <t>списание товара и готовой продукции</t>
  </si>
  <si>
    <t>2.29.</t>
  </si>
  <si>
    <t>хозрасходы, инвентарь, спецодежда</t>
  </si>
  <si>
    <t>2.30.</t>
  </si>
  <si>
    <t>Орг-правовая форма</t>
  </si>
  <si>
    <t>УСНО</t>
  </si>
  <si>
    <t>Доля (прим.1)</t>
  </si>
  <si>
    <t>Доля (прим.2)</t>
  </si>
  <si>
    <t>Примечания:</t>
  </si>
  <si>
    <t>Доля отражения расходов (наличия подтверждающих документов) при ведении бухгалтерского учета (БУ), например:</t>
  </si>
  <si>
    <t>1) 0% - расходы НЕ ОТРАЖАЮТСЯ в БУ</t>
  </si>
  <si>
    <t>2) 50% - расходы ОТРАЖАЮТСЯ в БУ в объеме 50%</t>
  </si>
  <si>
    <t>По умолчанию = 100% (расходы отражаются ПОЛНОСТЬЮ)</t>
  </si>
  <si>
    <t>Доля расходов в подтверждающих документах с выделением НДС, например:</t>
  </si>
  <si>
    <t>1) 0% - в подтверждающих расходы документах НДС не выделяется</t>
  </si>
  <si>
    <t>2) 50% - в подтверждающих расходы документах НДС выделяется в 50% случаев</t>
  </si>
  <si>
    <t>2) 100% - расходы ОТРАЖАЮТСЯ в БУ в объеме 100% (ПОЛНОСТЬЮ)</t>
  </si>
  <si>
    <t>2) 100% - в подтверждающих расходы документах НДС выделяется в 100% случаев</t>
  </si>
  <si>
    <t>Возможность применения УСНО</t>
  </si>
  <si>
    <t>Доля (прим.3)</t>
  </si>
  <si>
    <t>1) 0% - товары с НДС=10% в доходах от продажи отсутствуют</t>
  </si>
  <si>
    <t>Доля в доходах от продажи товаров с НДС=10%, например:</t>
  </si>
  <si>
    <t>2) 50% - товары с НДС=10% составляют 50% доходов от продажи</t>
  </si>
  <si>
    <t>Блок №1</t>
  </si>
  <si>
    <t>Блок №2</t>
  </si>
  <si>
    <t>3) 100% - товары с НДС=10% составляют 100% доходов от продажи</t>
  </si>
  <si>
    <t>По умолчанию = 20% (товары с НДС=10% составляют 20% доходов от продажи)</t>
  </si>
  <si>
    <t>расходы на ФОТ персонала (в т.ч. НДФЛ)</t>
  </si>
  <si>
    <t>УСНО (Доходы)</t>
  </si>
  <si>
    <t>УСНО (Д-Р)</t>
  </si>
  <si>
    <t>Прибыль от продаж</t>
  </si>
  <si>
    <t>Налог по УСНО</t>
  </si>
  <si>
    <t>ставка налога</t>
  </si>
  <si>
    <t>УСНО (Доходы минус расходы)</t>
  </si>
  <si>
    <t>ЕНВД</t>
  </si>
  <si>
    <t>ОСНО</t>
  </si>
  <si>
    <t>Патент</t>
  </si>
  <si>
    <t>НДС к уплате в бюджет</t>
  </si>
  <si>
    <t>налог с владельцев транспортных средств</t>
  </si>
  <si>
    <t>Итого бюджет налогов и отчислений</t>
  </si>
  <si>
    <t>БУ</t>
  </si>
  <si>
    <t>Фискальная нагрузка по страховым взносам</t>
  </si>
  <si>
    <t>2020г
(по данным БУ)</t>
  </si>
  <si>
    <t>Ставки налогов, %</t>
  </si>
  <si>
    <t>Возможность применения Патента</t>
  </si>
  <si>
    <t>Общая система налогообложения</t>
  </si>
  <si>
    <t>Налог на прибыль</t>
  </si>
  <si>
    <t>в том числе</t>
  </si>
  <si>
    <t>НДС</t>
  </si>
  <si>
    <t>% НДС</t>
  </si>
  <si>
    <t>Изменение чистой прибыли относительно сценария "ЕНВД"</t>
  </si>
  <si>
    <t>Отражено в БУ (в т.ч. НДС)</t>
  </si>
  <si>
    <t>см. примечания под таблицей</t>
  </si>
  <si>
    <t>г.Архангельск</t>
  </si>
  <si>
    <t xml:space="preserve"> - ячейки для заполнения вручную</t>
  </si>
  <si>
    <t>выбор</t>
  </si>
  <si>
    <r>
      <t>Наличие филиалов (</t>
    </r>
    <r>
      <rPr>
        <sz val="13"/>
        <color rgb="FFFF0000"/>
        <rFont val="Calibri"/>
        <family val="2"/>
        <charset val="204"/>
        <scheme val="minor"/>
      </rPr>
      <t>выбор</t>
    </r>
    <r>
      <rPr>
        <sz val="13"/>
        <color theme="1"/>
        <rFont val="Calibri"/>
        <family val="2"/>
        <charset val="204"/>
        <scheme val="minor"/>
      </rPr>
      <t>)</t>
    </r>
  </si>
  <si>
    <t>1.</t>
  </si>
  <si>
    <t>2.</t>
  </si>
  <si>
    <t>3.</t>
  </si>
  <si>
    <t>Средневзвешенная ставка НДС к уплате с доходов, %</t>
  </si>
  <si>
    <r>
      <t>Перечень расходов при УСНО (доходы минус расходы) (</t>
    </r>
    <r>
      <rPr>
        <b/>
        <sz val="18"/>
        <color rgb="FFFF0000"/>
        <rFont val="Arial"/>
        <family val="2"/>
        <charset val="204"/>
      </rPr>
      <t>справочно</t>
    </r>
    <r>
      <rPr>
        <b/>
        <sz val="18"/>
        <color theme="1"/>
        <rFont val="Arial"/>
        <family val="2"/>
        <charset val="204"/>
      </rPr>
      <t>)</t>
    </r>
  </si>
  <si>
    <t>Доходы (без НДС)</t>
  </si>
  <si>
    <t>Расходы (без НДС)</t>
  </si>
  <si>
    <t>Отражено в БУ</t>
  </si>
  <si>
    <t>версия 1.1</t>
  </si>
  <si>
    <t>Список разделов финансовой модели</t>
  </si>
  <si>
    <t>Название раздела</t>
  </si>
  <si>
    <t>ссылка</t>
  </si>
  <si>
    <t>СВОД</t>
  </si>
  <si>
    <t>Расходы_НК_ст346.16</t>
  </si>
  <si>
    <t>Тип листа</t>
  </si>
  <si>
    <t>Описание</t>
  </si>
  <si>
    <t>Ручной ввод данных</t>
  </si>
  <si>
    <t>да</t>
  </si>
  <si>
    <t>нет</t>
  </si>
  <si>
    <t>отчет</t>
  </si>
  <si>
    <t>итоги расчетов по УСНО (Доходы)</t>
  </si>
  <si>
    <t>итоги расчетов по УСНО (Доходы минус расходы)</t>
  </si>
  <si>
    <t>итоги расчетов по УСНО (ОСНО)</t>
  </si>
  <si>
    <t>справка</t>
  </si>
  <si>
    <t>справочная информация о составе затрат для применения УСНО  (доходы минус расходы) из ст. 346.16 НК</t>
  </si>
  <si>
    <t>ввод информации</t>
  </si>
  <si>
    <t>Ссылка на раздел</t>
  </si>
  <si>
    <r>
      <rPr>
        <b/>
        <sz val="20"/>
        <color theme="1"/>
        <rFont val="Arial"/>
        <family val="2"/>
        <charset val="204"/>
      </rPr>
      <t xml:space="preserve">Калькулятор расчета налоговой нагрузки
</t>
    </r>
    <r>
      <rPr>
        <sz val="20"/>
        <color theme="1"/>
        <rFont val="Arial"/>
        <family val="2"/>
        <charset val="204"/>
      </rPr>
      <t xml:space="preserve">
в зависимости
от выбранной системы налогообложения
после отмены ЕНВД с 01.01.2021г</t>
    </r>
  </si>
  <si>
    <t>тара и упаковка</t>
  </si>
  <si>
    <t>товары для перепродажи / сырье для производтва продукции</t>
  </si>
  <si>
    <t>средняя торговая наценка в рознице и общепите (%)</t>
  </si>
  <si>
    <t>По умолчанию = 100% (в подтверждающих расходы документах НДС выделяется в 100% случаев)</t>
  </si>
  <si>
    <r>
      <t>Есть наемные сотрудники (</t>
    </r>
    <r>
      <rPr>
        <sz val="13"/>
        <color rgb="FFFF0000"/>
        <rFont val="Calibri"/>
        <family val="2"/>
        <charset val="204"/>
        <scheme val="minor"/>
      </rPr>
      <t>выбор</t>
    </r>
    <r>
      <rPr>
        <sz val="13"/>
        <color theme="1"/>
        <rFont val="Calibri"/>
        <family val="2"/>
        <charset val="204"/>
        <scheme val="minor"/>
      </rPr>
      <t>)</t>
    </r>
  </si>
  <si>
    <t>ИП - взносы за себя</t>
  </si>
  <si>
    <t>Взносы на ОПС, если доход ИП за год превышает 300 тыс. руб.</t>
  </si>
  <si>
    <t>Сумма</t>
  </si>
  <si>
    <t>взносы на ОПС</t>
  </si>
  <si>
    <t>взносы на ОМС</t>
  </si>
  <si>
    <t>Примечание</t>
  </si>
  <si>
    <t>Сводный расчет итогов по вариантам налогообложения</t>
  </si>
  <si>
    <t>Сценарий №1</t>
  </si>
  <si>
    <t>Сценарий №2</t>
  </si>
  <si>
    <t>Сценарий №3</t>
  </si>
  <si>
    <t>Сценарий №4</t>
  </si>
  <si>
    <t>Сценарий №5</t>
  </si>
  <si>
    <t>Расходы по уплате налога по УСН и отчислений за себя</t>
  </si>
  <si>
    <t>фиксированная сумма отчислений</t>
  </si>
  <si>
    <t>сумма отчислений с доходов свыше 300 тыс. руб. в год</t>
  </si>
  <si>
    <t>налог по УСН</t>
  </si>
  <si>
    <t>ИП без сотрудников</t>
  </si>
  <si>
    <t>калькулятор налоговой нагрузки при УСН для ИП без сотрудников в штате</t>
  </si>
  <si>
    <t>итоги расчетов при уплате патента</t>
  </si>
  <si>
    <t>Ставка налога по УСН (Доходы)</t>
  </si>
  <si>
    <t>Сценарий №6</t>
  </si>
  <si>
    <t>Дрход за год, тыс. руб.</t>
  </si>
  <si>
    <t>Налог 1%</t>
  </si>
  <si>
    <t>Налог 2%</t>
  </si>
  <si>
    <t>Налог 3%</t>
  </si>
  <si>
    <t>Налог 4%</t>
  </si>
  <si>
    <t>Налог 5%</t>
  </si>
  <si>
    <t>Налог 6%</t>
  </si>
  <si>
    <t>Варианты</t>
  </si>
  <si>
    <t>Ставка налога по УСНО (Доходы минус расходы)</t>
  </si>
  <si>
    <t>Расходы + налоги</t>
  </si>
  <si>
    <r>
      <t xml:space="preserve">вопросы для вида деятельности
</t>
    </r>
    <r>
      <rPr>
        <b/>
        <sz val="16"/>
        <color rgb="FFFF0000"/>
        <rFont val="Calibri"/>
        <family val="2"/>
        <charset val="204"/>
        <scheme val="minor"/>
      </rPr>
      <t>"Общественное питание"</t>
    </r>
  </si>
  <si>
    <r>
      <rPr>
        <b/>
        <sz val="13"/>
        <color theme="1"/>
        <rFont val="Calibri"/>
        <family val="2"/>
        <charset val="204"/>
        <scheme val="minor"/>
      </rPr>
      <t>Отсутствие</t>
    </r>
    <r>
      <rPr>
        <sz val="13"/>
        <color theme="1"/>
        <rFont val="Calibri"/>
        <family val="2"/>
        <charset val="204"/>
        <scheme val="minor"/>
      </rPr>
      <t xml:space="preserve"> на конец налогового периода, в котором применена пониженная ставка, </t>
    </r>
    <r>
      <rPr>
        <b/>
        <sz val="13"/>
        <color theme="1"/>
        <rFont val="Calibri"/>
        <family val="2"/>
        <charset val="204"/>
        <scheme val="minor"/>
      </rPr>
      <t>неисполненной обязанности по уплате налогов, сборов и страховых взносов</t>
    </r>
  </si>
  <si>
    <r>
      <t xml:space="preserve">Среднесписочная численность наемных работников составляет </t>
    </r>
    <r>
      <rPr>
        <b/>
        <sz val="13"/>
        <color theme="1"/>
        <rFont val="Calibri"/>
        <family val="2"/>
        <charset val="204"/>
        <scheme val="minor"/>
      </rPr>
      <t>не менее 3 человек</t>
    </r>
  </si>
  <si>
    <r>
      <rPr>
        <b/>
        <sz val="13"/>
        <color theme="1"/>
        <rFont val="Calibri"/>
        <family val="2"/>
        <charset val="204"/>
        <scheme val="minor"/>
      </rPr>
      <t>Не менее 70 процентов</t>
    </r>
    <r>
      <rPr>
        <sz val="13"/>
        <color theme="1"/>
        <rFont val="Calibri"/>
        <family val="2"/>
        <charset val="204"/>
        <scheme val="minor"/>
      </rPr>
      <t xml:space="preserve"> общего дохода от реализации товаров (работ, услуг) составил доход от вида деятельности "Общественное питание"</t>
    </r>
  </si>
  <si>
    <t>574-35-ОЗ от 19.11.2012</t>
  </si>
  <si>
    <t>Базовый доход</t>
  </si>
  <si>
    <t>Фиксированные взносы, если доход ИП за год не превышает 300 тыс. руб., руб., в т.ч.:</t>
  </si>
  <si>
    <t>Оказание автотранспортных услуг по перевозке грузов автомобильным транспортом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</si>
  <si>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</si>
  <si>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руб.</t>
  </si>
  <si>
    <t>руб./м2 в год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</si>
  <si>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</si>
  <si>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</si>
  <si>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</si>
  <si>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Дефлятор</t>
  </si>
  <si>
    <t>Ставка налога, %</t>
  </si>
  <si>
    <t>Вводная информация для расчета стоимости патента</t>
  </si>
  <si>
    <t>I группа</t>
  </si>
  <si>
    <t>Район</t>
  </si>
  <si>
    <t>Группа</t>
  </si>
  <si>
    <t>Коэф</t>
  </si>
  <si>
    <t>городские округа Архангельской области "Город Архангельск", "Город Коряжма", "Котлас", "Мирный", "Новая Земля", "Город Новодвинск", "Северодвинск"</t>
  </si>
  <si>
    <t>городское поселение "Березниковское" Виноградовского муниципального района Архангельской области,</t>
  </si>
  <si>
    <t>городское поселение "Вельское" Вельского муниципального района Архангельской области</t>
  </si>
  <si>
    <t>городское поселение "Каргопольское" Каргопольского муниципального района Архангельской области</t>
  </si>
  <si>
    <t>городское поселение "Коношское" Коношского муниципального района Архангельской области</t>
  </si>
  <si>
    <t>городское поселение "Мезенское" Мезенского муниципального района Архангельской области</t>
  </si>
  <si>
    <t>городское поселение "Няндомское" Няндомского муниципального района Архангельской области</t>
  </si>
  <si>
    <t>городское поселение "Октябрьское" Устьянского муниципального района Архангельской области</t>
  </si>
  <si>
    <t>городское поселение "Онежское" Онежского муниципального района Архангельской области</t>
  </si>
  <si>
    <t>городское поселение "Плесецкое" Плесецкого муниципального района Архангельской области</t>
  </si>
  <si>
    <t>Коэффициент</t>
  </si>
  <si>
    <t>Коэффициент-дефлятор</t>
  </si>
  <si>
    <t>Ставка налога</t>
  </si>
  <si>
    <t>32 448 руб. + 1% от суммы превышения, но не более 259 584 руб. (32 448 руб. х 8)</t>
  </si>
  <si>
    <t>руб./год на ед.</t>
  </si>
  <si>
    <t>Информация о плательщике</t>
  </si>
  <si>
    <r>
      <t xml:space="preserve">Данные для расчета </t>
    </r>
    <r>
      <rPr>
        <b/>
        <sz val="12"/>
        <color rgb="FFFF0000"/>
        <rFont val="Arial"/>
        <family val="2"/>
        <charset val="204"/>
      </rPr>
      <t>без учета вида деятельности</t>
    </r>
  </si>
  <si>
    <r>
      <t xml:space="preserve">Данные для расчета </t>
    </r>
    <r>
      <rPr>
        <b/>
        <sz val="12"/>
        <color rgb="FFFF0000"/>
        <rFont val="Arial"/>
        <family val="2"/>
        <charset val="204"/>
      </rPr>
      <t>с учетом вида деятельности</t>
    </r>
  </si>
  <si>
    <t>Сумма налога по патенту, тыс. руб./год.</t>
  </si>
  <si>
    <t>ДА / НЕТ</t>
  </si>
  <si>
    <t>объект не имеет торгового зала  или является объектом нестационарной торговли</t>
  </si>
  <si>
    <t>ВД</t>
  </si>
  <si>
    <t>ПАТЕНТ</t>
  </si>
  <si>
    <t>ввод информации для расчетов (блок №1,2)</t>
  </si>
  <si>
    <t>Блок №3</t>
  </si>
  <si>
    <t>Вводная информация (1,2)</t>
  </si>
  <si>
    <t>Вводная информация (3) - ПАТЕНТ</t>
  </si>
  <si>
    <t>ввод информации для расчетов (блок №3) - ПАТЕНТ</t>
  </si>
  <si>
    <r>
      <t>Район регистрации ИП
(</t>
    </r>
    <r>
      <rPr>
        <sz val="12"/>
        <color rgb="FFFF0000"/>
        <rFont val="Arial"/>
        <family val="2"/>
        <charset val="204"/>
      </rPr>
      <t>выбор из списка</t>
    </r>
    <r>
      <rPr>
        <sz val="12"/>
        <color theme="1"/>
        <rFont val="Arial"/>
        <family val="2"/>
        <charset val="204"/>
      </rPr>
      <t>)</t>
    </r>
  </si>
  <si>
    <t>Без НДС</t>
  </si>
  <si>
    <t>Калькулятор налоговой нагрузки при УСН "Доходы" для ИП без сотрудников в штате</t>
  </si>
  <si>
    <t>vsozonov@mail.ru</t>
  </si>
  <si>
    <t>Библиотеки</t>
  </si>
  <si>
    <t>назад</t>
  </si>
  <si>
    <t>Предельный доход, руб./год</t>
  </si>
  <si>
    <t>Предельный доход с учетом дефлятора, руб./год</t>
  </si>
  <si>
    <t>если объект не имеет зала обслуживания, или площадь зала &gt;50м2, то значение по полю "площадь" = 0 или пустое значение</t>
  </si>
  <si>
    <t>м2</t>
  </si>
  <si>
    <r>
      <rPr>
        <b/>
        <sz val="12"/>
        <color theme="1"/>
        <rFont val="Arial"/>
        <family val="2"/>
        <charset val="204"/>
      </rPr>
      <t>Общественное питание.</t>
    </r>
    <r>
      <rPr>
        <sz val="12"/>
        <color theme="1"/>
        <rFont val="Arial"/>
        <family val="2"/>
        <charset val="204"/>
      </rPr>
      <t xml:space="preserve">
Площадь торгового зала</t>
    </r>
  </si>
  <si>
    <r>
      <rPr>
        <b/>
        <sz val="12"/>
        <color theme="1"/>
        <rFont val="Arial"/>
        <family val="2"/>
        <charset val="204"/>
      </rPr>
      <t>Розничная торговля.</t>
    </r>
    <r>
      <rPr>
        <sz val="12"/>
        <color theme="1"/>
        <rFont val="Arial"/>
        <family val="2"/>
        <charset val="204"/>
      </rPr>
      <t xml:space="preserve">
Площадь торгового зала</t>
    </r>
  </si>
  <si>
    <t>единиц</t>
  </si>
  <si>
    <r>
      <rPr>
        <b/>
        <sz val="12"/>
        <color theme="1"/>
        <rFont val="Arial"/>
        <family val="2"/>
        <charset val="204"/>
      </rPr>
      <t>Транспортные услуги.</t>
    </r>
    <r>
      <rPr>
        <sz val="12"/>
        <color theme="1"/>
        <rFont val="Arial"/>
        <family val="2"/>
        <charset val="204"/>
      </rPr>
      <t xml:space="preserve">
Количество единиц транспорта</t>
    </r>
  </si>
  <si>
    <t>тыс. руб./год</t>
  </si>
  <si>
    <t>Предельная стоимость патента, руб./год</t>
  </si>
  <si>
    <t>городское поселение "Шенкурское" Шенкурского муниципального района Архангельской области</t>
  </si>
  <si>
    <t>прочие муниципальные образования</t>
  </si>
  <si>
    <t>II группа</t>
  </si>
  <si>
    <t>сельское поселение "Алексеевское" Красноборского муниципального района Архангельской области</t>
  </si>
  <si>
    <t>сельское поселение "Верхнетоемское" Верхнетоемского муниципального района Архангельской области</t>
  </si>
  <si>
    <t>сельское поселение "Ильинское" Вилегодского муниципального района Архангельской области</t>
  </si>
  <si>
    <t>сельское поселение "Карпогорское" Пинежского муниципального района Архангельской области</t>
  </si>
  <si>
    <t>сельское поселение "Лешуконское" Лешуконского муниципального района Архангельской области</t>
  </si>
  <si>
    <t>сельское поселение "Холмогорское" Холмогорского муниципального района Архангельской области</t>
  </si>
  <si>
    <t xml:space="preserve">Не отражено в БУ </t>
  </si>
  <si>
    <t>Показатели рентабельности и налоговой нагрузки за 2020г (БУХГАЛТЕРСКИЙ УЧЕТ)</t>
  </si>
  <si>
    <t>при различных системах налогообложения (н/о)</t>
  </si>
  <si>
    <t>Абсолютный рост относительно сценария "ЕНВД"</t>
  </si>
  <si>
    <t>Относительный рост относительно сценария "ЕНВД"</t>
  </si>
  <si>
    <t>Ранжирование сценариев</t>
  </si>
  <si>
    <r>
      <t>Прогноз доходов и расходов за 2020г (</t>
    </r>
    <r>
      <rPr>
        <b/>
        <sz val="16"/>
        <color rgb="FFFF0000"/>
        <rFont val="Arial"/>
        <family val="2"/>
        <charset val="204"/>
      </rPr>
      <t>УПРАВЛЕНЧЕСКИЙ УЧЕТ</t>
    </r>
    <r>
      <rPr>
        <b/>
        <sz val="16"/>
        <color theme="1"/>
        <rFont val="Arial"/>
        <family val="2"/>
        <charset val="204"/>
      </rPr>
      <t>) при различных системах налогообложения</t>
    </r>
  </si>
  <si>
    <t>налог с владельцев т/с</t>
  </si>
  <si>
    <t>отчисления от ФОТ</t>
  </si>
  <si>
    <t>патент</t>
  </si>
  <si>
    <t>Налоговая нагрузка при доходе  1 000 тыс.руб./год 
при различных ставках налога по УСН (Доходы)</t>
  </si>
  <si>
    <t>Расчет равновесной суммы Дохода</t>
  </si>
  <si>
    <t>Ограничения по площади, м2</t>
  </si>
  <si>
    <t>lim (м2)</t>
  </si>
  <si>
    <r>
      <t>Прогноз бюджета налогов и отчислений за 2020г (</t>
    </r>
    <r>
      <rPr>
        <b/>
        <sz val="16"/>
        <color rgb="FFFF0000"/>
        <rFont val="Arial"/>
        <family val="2"/>
        <charset val="204"/>
      </rPr>
      <t>БУХГАЛТЕРСКИЙ УЧЕТ</t>
    </r>
    <r>
      <rPr>
        <b/>
        <sz val="16"/>
        <color theme="1"/>
        <rFont val="Arial"/>
        <family val="2"/>
        <charset val="204"/>
      </rPr>
      <t>) при различных системах н/о</t>
    </r>
  </si>
</sst>
</file>

<file path=xl/styles.xml><?xml version="1.0" encoding="utf-8"?>
<styleSheet xmlns="http://schemas.openxmlformats.org/spreadsheetml/2006/main">
  <numFmts count="7">
    <numFmt numFmtId="164" formatCode="#,##0_ ;[Red]\-#,##0\ "/>
    <numFmt numFmtId="165" formatCode="0.0%"/>
    <numFmt numFmtId="166" formatCode="[$-419]mmmm\ yyyy;@"/>
    <numFmt numFmtId="167" formatCode="#,##0.0_ ;[Red]\-#,##0.0\ "/>
    <numFmt numFmtId="168" formatCode="0.0"/>
    <numFmt numFmtId="169" formatCode="0.0000"/>
    <numFmt numFmtId="170" formatCode="#,##0.0000"/>
  </numFmts>
  <fonts count="48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2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rgb="FF7F7F7F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3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sz val="13"/>
      <color indexed="8"/>
      <name val="Calibri"/>
      <family val="2"/>
      <charset val="204"/>
      <scheme val="minor"/>
    </font>
    <font>
      <i/>
      <sz val="13"/>
      <color rgb="FFFF0000"/>
      <name val="Calibri"/>
      <family val="2"/>
      <charset val="204"/>
      <scheme val="minor"/>
    </font>
    <font>
      <sz val="20"/>
      <color theme="1"/>
      <name val="Arial"/>
      <family val="2"/>
      <charset val="204"/>
    </font>
    <font>
      <i/>
      <sz val="16"/>
      <color rgb="FFFF0000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u/>
      <sz val="7"/>
      <color theme="10"/>
      <name val="Arial"/>
      <family val="2"/>
      <charset val="204"/>
    </font>
    <font>
      <sz val="13"/>
      <color theme="1"/>
      <name val="Arial"/>
      <family val="2"/>
      <charset val="204"/>
    </font>
    <font>
      <b/>
      <sz val="20"/>
      <color rgb="FFFF000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1" fillId="0" borderId="0"/>
    <xf numFmtId="0" fontId="3" fillId="0" borderId="0" applyNumberFormat="0" applyFill="0" applyBorder="0" applyAlignment="0" applyProtection="0"/>
  </cellStyleXfs>
  <cellXfs count="268">
    <xf numFmtId="0" fontId="0" fillId="0" borderId="0" xfId="0"/>
    <xf numFmtId="0" fontId="3" fillId="0" borderId="0" xfId="2"/>
    <xf numFmtId="0" fontId="0" fillId="0" borderId="0" xfId="0" applyAlignment="1">
      <alignment vertical="center"/>
    </xf>
    <xf numFmtId="0" fontId="6" fillId="3" borderId="0" xfId="3" applyFont="1" applyFill="1" applyBorder="1" applyAlignment="1">
      <alignment horizontal="left" vertical="center"/>
    </xf>
    <xf numFmtId="0" fontId="7" fillId="0" borderId="0" xfId="3" applyFont="1" applyAlignment="1">
      <alignment vertical="center"/>
    </xf>
    <xf numFmtId="0" fontId="8" fillId="0" borderId="0" xfId="3" applyFont="1" applyFill="1" applyAlignment="1">
      <alignment vertical="center"/>
    </xf>
    <xf numFmtId="0" fontId="9" fillId="3" borderId="0" xfId="3" applyFont="1" applyFill="1" applyBorder="1" applyAlignment="1">
      <alignment horizontal="left" vertical="center"/>
    </xf>
    <xf numFmtId="0" fontId="10" fillId="0" borderId="0" xfId="3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3" borderId="0" xfId="3" applyFont="1" applyFill="1" applyBorder="1" applyAlignment="1">
      <alignment horizontal="left" vertical="center"/>
    </xf>
    <xf numFmtId="0" fontId="11" fillId="4" borderId="1" xfId="3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 wrapText="1" indent="1"/>
    </xf>
    <xf numFmtId="0" fontId="13" fillId="0" borderId="1" xfId="3" applyFont="1" applyBorder="1" applyAlignment="1">
      <alignment horizontal="left" vertical="center" wrapText="1" indent="1"/>
    </xf>
    <xf numFmtId="164" fontId="7" fillId="0" borderId="1" xfId="3" applyNumberFormat="1" applyFont="1" applyBorder="1" applyAlignment="1">
      <alignment horizontal="center" vertical="center"/>
    </xf>
    <xf numFmtId="0" fontId="14" fillId="0" borderId="1" xfId="3" applyFont="1" applyBorder="1" applyAlignment="1">
      <alignment horizontal="left" vertical="center" wrapText="1" indent="1"/>
    </xf>
    <xf numFmtId="0" fontId="15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13" fillId="0" borderId="0" xfId="3" applyFont="1" applyBorder="1" applyAlignment="1">
      <alignment horizontal="left" vertical="center" wrapText="1" indent="1"/>
    </xf>
    <xf numFmtId="0" fontId="13" fillId="0" borderId="1" xfId="3" applyFont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164" fontId="7" fillId="3" borderId="1" xfId="3" applyNumberFormat="1" applyFont="1" applyFill="1" applyBorder="1" applyAlignment="1">
      <alignment horizontal="center" vertical="center"/>
    </xf>
    <xf numFmtId="164" fontId="7" fillId="5" borderId="1" xfId="3" applyNumberFormat="1" applyFont="1" applyFill="1" applyBorder="1" applyAlignment="1" applyProtection="1">
      <alignment horizontal="center" vertical="center"/>
      <protection locked="0"/>
    </xf>
    <xf numFmtId="9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Font="1" applyFill="1" applyBorder="1" applyAlignment="1" applyProtection="1">
      <alignment horizontal="center" vertical="center"/>
      <protection locked="0"/>
    </xf>
    <xf numFmtId="0" fontId="7" fillId="0" borderId="1" xfId="3" applyFont="1" applyBorder="1" applyAlignment="1">
      <alignment horizontal="left" vertical="center" wrapText="1" indent="2"/>
    </xf>
    <xf numFmtId="16" fontId="7" fillId="0" borderId="1" xfId="3" applyNumberFormat="1" applyFont="1" applyBorder="1" applyAlignment="1">
      <alignment horizontal="center" vertical="center"/>
    </xf>
    <xf numFmtId="164" fontId="7" fillId="5" borderId="1" xfId="3" applyNumberFormat="1" applyFont="1" applyFill="1" applyBorder="1" applyAlignment="1" applyProtection="1">
      <alignment horizontal="right" vertical="center"/>
      <protection locked="0"/>
    </xf>
    <xf numFmtId="164" fontId="7" fillId="3" borderId="1" xfId="3" applyNumberFormat="1" applyFont="1" applyFill="1" applyBorder="1" applyAlignment="1" applyProtection="1">
      <alignment horizontal="right" vertical="center"/>
    </xf>
    <xf numFmtId="164" fontId="7" fillId="3" borderId="1" xfId="3" applyNumberFormat="1" applyFont="1" applyFill="1" applyBorder="1" applyAlignment="1" applyProtection="1">
      <alignment horizontal="right" vertical="center"/>
      <protection locked="0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 wrapText="1" indent="1"/>
    </xf>
    <xf numFmtId="164" fontId="8" fillId="3" borderId="1" xfId="3" applyNumberFormat="1" applyFont="1" applyFill="1" applyBorder="1" applyAlignment="1" applyProtection="1">
      <alignment horizontal="right" vertical="center"/>
    </xf>
    <xf numFmtId="0" fontId="9" fillId="4" borderId="1" xfId="3" applyFont="1" applyFill="1" applyBorder="1" applyAlignment="1">
      <alignment horizontal="center" vertical="center"/>
    </xf>
    <xf numFmtId="9" fontId="8" fillId="3" borderId="1" xfId="1" applyFont="1" applyFill="1" applyBorder="1" applyAlignment="1" applyProtection="1">
      <alignment horizontal="right" vertical="center"/>
    </xf>
    <xf numFmtId="165" fontId="8" fillId="3" borderId="1" xfId="1" applyNumberFormat="1" applyFont="1" applyFill="1" applyBorder="1" applyAlignment="1" applyProtection="1">
      <alignment horizontal="right" vertical="center"/>
    </xf>
    <xf numFmtId="0" fontId="9" fillId="4" borderId="1" xfId="3" applyFont="1" applyFill="1" applyBorder="1" applyAlignment="1">
      <alignment horizontal="center" vertical="center" wrapText="1"/>
    </xf>
    <xf numFmtId="0" fontId="15" fillId="0" borderId="0" xfId="3" applyFont="1" applyAlignment="1">
      <alignment vertical="center" wrapText="1"/>
    </xf>
    <xf numFmtId="0" fontId="7" fillId="0" borderId="0" xfId="3" applyFont="1" applyAlignment="1">
      <alignment vertical="center" wrapText="1"/>
    </xf>
    <xf numFmtId="0" fontId="0" fillId="4" borderId="1" xfId="0" applyFill="1" applyBorder="1" applyAlignment="1">
      <alignment horizontal="left" indent="1"/>
    </xf>
    <xf numFmtId="165" fontId="0" fillId="4" borderId="1" xfId="1" applyNumberFormat="1" applyFont="1" applyFill="1" applyBorder="1"/>
    <xf numFmtId="0" fontId="16" fillId="0" borderId="0" xfId="3" applyFont="1" applyAlignment="1">
      <alignment horizontal="left" vertical="center" indent="1"/>
    </xf>
    <xf numFmtId="165" fontId="7" fillId="5" borderId="1" xfId="1" applyNumberFormat="1" applyFont="1" applyFill="1" applyBorder="1" applyAlignment="1" applyProtection="1">
      <alignment horizontal="center" vertical="center"/>
      <protection locked="0"/>
    </xf>
    <xf numFmtId="0" fontId="13" fillId="3" borderId="1" xfId="3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left" vertical="center" wrapText="1" indent="2"/>
    </xf>
    <xf numFmtId="9" fontId="8" fillId="3" borderId="0" xfId="1" applyFont="1" applyFill="1" applyBorder="1" applyAlignment="1" applyProtection="1">
      <alignment horizontal="right" vertical="center"/>
    </xf>
    <xf numFmtId="165" fontId="8" fillId="3" borderId="0" xfId="1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left" vertical="center" wrapText="1" indent="1"/>
    </xf>
    <xf numFmtId="0" fontId="13" fillId="3" borderId="0" xfId="3" applyFont="1" applyFill="1" applyBorder="1" applyAlignment="1" applyProtection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14" fillId="0" borderId="0" xfId="3" applyFont="1" applyBorder="1" applyAlignment="1">
      <alignment horizontal="left" vertical="center" wrapText="1" indent="1"/>
    </xf>
    <xf numFmtId="0" fontId="11" fillId="3" borderId="7" xfId="3" applyFont="1" applyFill="1" applyBorder="1" applyAlignment="1">
      <alignment horizontal="center" vertical="center"/>
    </xf>
    <xf numFmtId="9" fontId="7" fillId="5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Alignment="1">
      <alignment horizontal="right" vertical="center"/>
    </xf>
    <xf numFmtId="0" fontId="19" fillId="0" borderId="0" xfId="3" applyFont="1" applyAlignment="1">
      <alignment vertical="center"/>
    </xf>
    <xf numFmtId="9" fontId="7" fillId="3" borderId="1" xfId="1" applyNumberFormat="1" applyFont="1" applyFill="1" applyBorder="1" applyAlignment="1" applyProtection="1">
      <alignment horizontal="center" vertical="center"/>
    </xf>
    <xf numFmtId="0" fontId="20" fillId="0" borderId="0" xfId="3" applyFont="1" applyAlignment="1">
      <alignment vertical="center"/>
    </xf>
    <xf numFmtId="0" fontId="7" fillId="0" borderId="0" xfId="3" applyFont="1" applyAlignment="1" applyProtection="1">
      <alignment vertical="center"/>
    </xf>
    <xf numFmtId="0" fontId="20" fillId="0" borderId="0" xfId="3" applyFont="1" applyAlignment="1" applyProtection="1">
      <alignment vertical="center"/>
    </xf>
    <xf numFmtId="0" fontId="11" fillId="3" borderId="0" xfId="3" applyFont="1" applyFill="1" applyBorder="1" applyAlignment="1" applyProtection="1">
      <alignment horizontal="left" vertical="center"/>
    </xf>
    <xf numFmtId="0" fontId="9" fillId="4" borderId="1" xfId="3" applyFont="1" applyFill="1" applyBorder="1" applyAlignment="1" applyProtection="1">
      <alignment horizontal="center" vertical="center"/>
    </xf>
    <xf numFmtId="0" fontId="15" fillId="0" borderId="0" xfId="3" applyFont="1" applyAlignment="1" applyProtection="1">
      <alignment vertical="center"/>
    </xf>
    <xf numFmtId="0" fontId="8" fillId="0" borderId="1" xfId="3" applyFont="1" applyBorder="1" applyAlignment="1" applyProtection="1">
      <alignment horizontal="center" vertical="center"/>
    </xf>
    <xf numFmtId="0" fontId="8" fillId="0" borderId="1" xfId="3" applyFont="1" applyBorder="1" applyAlignment="1" applyProtection="1">
      <alignment horizontal="left" vertical="center" wrapText="1" indent="1"/>
    </xf>
    <xf numFmtId="0" fontId="8" fillId="0" borderId="0" xfId="3" applyFont="1" applyAlignment="1" applyProtection="1">
      <alignment vertical="center"/>
    </xf>
    <xf numFmtId="0" fontId="7" fillId="0" borderId="1" xfId="3" applyFont="1" applyBorder="1" applyAlignment="1" applyProtection="1">
      <alignment horizontal="center" vertical="center"/>
    </xf>
    <xf numFmtId="0" fontId="7" fillId="0" borderId="1" xfId="3" applyFont="1" applyBorder="1" applyAlignment="1" applyProtection="1">
      <alignment horizontal="left" vertical="center" wrapText="1" indent="2"/>
    </xf>
    <xf numFmtId="16" fontId="7" fillId="0" borderId="1" xfId="3" applyNumberFormat="1" applyFont="1" applyBorder="1" applyAlignment="1" applyProtection="1">
      <alignment horizontal="center" vertical="center"/>
    </xf>
    <xf numFmtId="0" fontId="9" fillId="4" borderId="1" xfId="3" applyFont="1" applyFill="1" applyBorder="1" applyAlignment="1" applyProtection="1">
      <alignment horizontal="center" vertical="center" wrapText="1"/>
    </xf>
    <xf numFmtId="0" fontId="15" fillId="0" borderId="0" xfId="3" applyFont="1" applyAlignment="1" applyProtection="1">
      <alignment vertical="center" wrapText="1"/>
    </xf>
    <xf numFmtId="0" fontId="7" fillId="0" borderId="0" xfId="3" applyFont="1" applyAlignment="1" applyProtection="1">
      <alignment vertical="center" wrapText="1"/>
    </xf>
    <xf numFmtId="165" fontId="8" fillId="0" borderId="1" xfId="1" applyNumberFormat="1" applyFont="1" applyBorder="1" applyAlignment="1" applyProtection="1">
      <alignment vertical="center"/>
    </xf>
    <xf numFmtId="0" fontId="8" fillId="0" borderId="0" xfId="3" applyFont="1" applyAlignment="1" applyProtection="1">
      <alignment horizontal="center" vertical="center"/>
    </xf>
    <xf numFmtId="0" fontId="7" fillId="0" borderId="1" xfId="3" applyFont="1" applyBorder="1" applyAlignment="1" applyProtection="1">
      <alignment horizontal="left" vertical="center" wrapText="1" indent="1"/>
    </xf>
    <xf numFmtId="165" fontId="7" fillId="3" borderId="1" xfId="1" applyNumberFormat="1" applyFont="1" applyFill="1" applyBorder="1" applyAlignment="1" applyProtection="1">
      <alignment horizontal="right" vertical="center"/>
    </xf>
    <xf numFmtId="0" fontId="21" fillId="0" borderId="1" xfId="3" applyFont="1" applyBorder="1" applyAlignment="1" applyProtection="1">
      <alignment horizontal="center" vertical="center"/>
    </xf>
    <xf numFmtId="0" fontId="21" fillId="0" borderId="1" xfId="3" applyFont="1" applyBorder="1" applyAlignment="1" applyProtection="1">
      <alignment horizontal="left" vertical="center" wrapText="1" indent="1"/>
    </xf>
    <xf numFmtId="0" fontId="21" fillId="0" borderId="0" xfId="3" applyFont="1" applyAlignment="1" applyProtection="1">
      <alignment vertical="center"/>
    </xf>
    <xf numFmtId="165" fontId="21" fillId="3" borderId="1" xfId="1" applyNumberFormat="1" applyFont="1" applyFill="1" applyBorder="1" applyAlignment="1" applyProtection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24" fillId="0" borderId="0" xfId="3" applyFont="1" applyAlignment="1">
      <alignment horizontal="left" vertical="center" indent="1"/>
    </xf>
    <xf numFmtId="0" fontId="22" fillId="0" borderId="0" xfId="3" applyFont="1" applyAlignment="1">
      <alignment horizontal="left" vertical="center"/>
    </xf>
    <xf numFmtId="164" fontId="7" fillId="5" borderId="0" xfId="3" applyNumberFormat="1" applyFont="1" applyFill="1" applyBorder="1" applyAlignment="1" applyProtection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0" borderId="0" xfId="0" applyFont="1"/>
    <xf numFmtId="0" fontId="26" fillId="0" borderId="0" xfId="0" applyFont="1" applyAlignment="1">
      <alignment horizontal="center"/>
    </xf>
    <xf numFmtId="0" fontId="4" fillId="0" borderId="0" xfId="4" applyFont="1"/>
    <xf numFmtId="0" fontId="1" fillId="0" borderId="0" xfId="4" applyFont="1"/>
    <xf numFmtId="0" fontId="1" fillId="0" borderId="1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left" vertical="center" wrapText="1" indent="1"/>
    </xf>
    <xf numFmtId="0" fontId="0" fillId="0" borderId="1" xfId="4" applyFont="1" applyBorder="1" applyAlignment="1">
      <alignment horizontal="left" vertical="center" wrapText="1" indent="1"/>
    </xf>
    <xf numFmtId="0" fontId="2" fillId="2" borderId="1" xfId="4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 wrapText="1"/>
    </xf>
    <xf numFmtId="0" fontId="0" fillId="0" borderId="1" xfId="4" applyFont="1" applyBorder="1" applyAlignment="1">
      <alignment horizontal="center" vertical="center" wrapText="1"/>
    </xf>
    <xf numFmtId="0" fontId="1" fillId="0" borderId="0" xfId="4" applyFont="1" applyAlignment="1">
      <alignment horizontal="center"/>
    </xf>
    <xf numFmtId="0" fontId="0" fillId="0" borderId="5" xfId="0" applyBorder="1"/>
    <xf numFmtId="0" fontId="3" fillId="0" borderId="1" xfId="2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left" indent="1"/>
    </xf>
    <xf numFmtId="0" fontId="0" fillId="4" borderId="1" xfId="0" applyFill="1" applyBorder="1" applyAlignment="1">
      <alignment horizontal="left" vertical="center" wrapText="1" indent="1"/>
    </xf>
    <xf numFmtId="0" fontId="0" fillId="4" borderId="1" xfId="0" applyFill="1" applyBorder="1" applyAlignment="1">
      <alignment horizontal="left" vertical="center" wrapText="1" indent="2"/>
    </xf>
    <xf numFmtId="0" fontId="2" fillId="4" borderId="1" xfId="0" applyFont="1" applyFill="1" applyBorder="1" applyAlignment="1">
      <alignment horizontal="left" vertical="center" wrapText="1" indent="1"/>
    </xf>
    <xf numFmtId="3" fontId="2" fillId="4" borderId="1" xfId="1" applyNumberFormat="1" applyFont="1" applyFill="1" applyBorder="1" applyAlignment="1">
      <alignment vertical="center"/>
    </xf>
    <xf numFmtId="0" fontId="29" fillId="0" borderId="0" xfId="3" applyFont="1" applyBorder="1" applyAlignment="1">
      <alignment horizontal="left" vertical="center" indent="3"/>
    </xf>
    <xf numFmtId="0" fontId="11" fillId="4" borderId="1" xfId="3" applyFont="1" applyFill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34" fillId="0" borderId="1" xfId="3" applyFont="1" applyBorder="1" applyAlignment="1">
      <alignment horizontal="left" vertical="center" wrapText="1" indent="1"/>
    </xf>
    <xf numFmtId="0" fontId="35" fillId="0" borderId="1" xfId="3" applyFont="1" applyBorder="1" applyAlignment="1">
      <alignment horizontal="center" vertical="center" wrapText="1"/>
    </xf>
    <xf numFmtId="0" fontId="4" fillId="0" borderId="0" xfId="0" applyFont="1"/>
    <xf numFmtId="168" fontId="35" fillId="0" borderId="1" xfId="3" applyNumberFormat="1" applyFont="1" applyBorder="1" applyAlignment="1">
      <alignment horizontal="center" vertical="center" wrapText="1"/>
    </xf>
    <xf numFmtId="165" fontId="35" fillId="0" borderId="1" xfId="1" applyNumberFormat="1" applyFont="1" applyBorder="1" applyAlignment="1">
      <alignment horizontal="center" vertical="center" wrapText="1"/>
    </xf>
    <xf numFmtId="0" fontId="34" fillId="0" borderId="1" xfId="3" applyFont="1" applyBorder="1" applyAlignment="1">
      <alignment horizontal="center" vertical="center" wrapText="1"/>
    </xf>
    <xf numFmtId="0" fontId="17" fillId="4" borderId="1" xfId="3" applyFont="1" applyFill="1" applyBorder="1" applyAlignment="1">
      <alignment horizontal="center" vertical="center"/>
    </xf>
    <xf numFmtId="0" fontId="2" fillId="5" borderId="1" xfId="3" applyFont="1" applyFill="1" applyBorder="1" applyAlignment="1" applyProtection="1">
      <alignment horizontal="left" vertical="center" wrapText="1" indent="1"/>
      <protection locked="0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168" fontId="26" fillId="0" borderId="1" xfId="0" applyNumberFormat="1" applyFont="1" applyBorder="1" applyAlignment="1">
      <alignment horizontal="center" vertical="center"/>
    </xf>
    <xf numFmtId="0" fontId="35" fillId="5" borderId="1" xfId="3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vertical="center" wrapText="1"/>
    </xf>
    <xf numFmtId="0" fontId="17" fillId="0" borderId="1" xfId="3" applyFont="1" applyBorder="1" applyAlignment="1">
      <alignment horizontal="left" vertical="center" wrapText="1" indent="1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left" vertical="center" wrapText="1" indent="1"/>
    </xf>
    <xf numFmtId="3" fontId="1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14" xfId="3" applyFont="1" applyBorder="1" applyAlignment="1">
      <alignment horizontal="left" vertical="center" wrapText="1" indent="1"/>
    </xf>
    <xf numFmtId="3" fontId="35" fillId="3" borderId="1" xfId="3" applyNumberFormat="1" applyFont="1" applyFill="1" applyBorder="1" applyAlignment="1" applyProtection="1">
      <alignment horizontal="center" vertical="center" wrapText="1"/>
      <protection locked="0"/>
    </xf>
    <xf numFmtId="164" fontId="38" fillId="0" borderId="0" xfId="3" applyNumberFormat="1" applyFont="1" applyAlignment="1">
      <alignment horizontal="left" vertical="center" indent="1"/>
    </xf>
    <xf numFmtId="0" fontId="39" fillId="0" borderId="1" xfId="3" applyFont="1" applyBorder="1" applyAlignment="1">
      <alignment horizontal="left" vertical="center" wrapText="1" indent="2"/>
    </xf>
    <xf numFmtId="0" fontId="34" fillId="0" borderId="14" xfId="3" applyFont="1" applyBorder="1" applyAlignment="1">
      <alignment horizontal="center" vertical="center" wrapText="1"/>
    </xf>
    <xf numFmtId="0" fontId="9" fillId="9" borderId="15" xfId="3" applyFont="1" applyFill="1" applyBorder="1" applyAlignment="1">
      <alignment horizontal="center" vertical="center" wrapText="1"/>
    </xf>
    <xf numFmtId="0" fontId="9" fillId="7" borderId="15" xfId="3" applyFont="1" applyFill="1" applyBorder="1" applyAlignment="1">
      <alignment horizontal="center" vertical="center" wrapText="1"/>
    </xf>
    <xf numFmtId="0" fontId="9" fillId="6" borderId="15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indent="1"/>
    </xf>
    <xf numFmtId="0" fontId="2" fillId="0" borderId="4" xfId="0" applyFont="1" applyBorder="1"/>
    <xf numFmtId="0" fontId="0" fillId="0" borderId="3" xfId="0" applyBorder="1"/>
    <xf numFmtId="0" fontId="0" fillId="0" borderId="4" xfId="0" applyBorder="1"/>
    <xf numFmtId="0" fontId="40" fillId="0" borderId="0" xfId="2" applyFont="1" applyAlignment="1">
      <alignment horizontal="right"/>
    </xf>
    <xf numFmtId="0" fontId="3" fillId="0" borderId="0" xfId="2" applyBorder="1" applyAlignment="1" applyProtection="1">
      <alignment horizontal="center" vertical="center" wrapText="1"/>
      <protection locked="0"/>
    </xf>
    <xf numFmtId="169" fontId="35" fillId="0" borderId="1" xfId="3" applyNumberFormat="1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11" fillId="9" borderId="1" xfId="3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0" fontId="11" fillId="6" borderId="1" xfId="3" applyFont="1" applyFill="1" applyBorder="1" applyAlignment="1">
      <alignment horizontal="center" vertical="center" wrapText="1"/>
    </xf>
    <xf numFmtId="0" fontId="41" fillId="0" borderId="0" xfId="3" applyFont="1" applyAlignment="1" applyProtection="1">
      <alignment vertical="center"/>
    </xf>
    <xf numFmtId="0" fontId="42" fillId="0" borderId="0" xfId="3" applyFont="1" applyAlignment="1" applyProtection="1">
      <alignment vertical="center"/>
    </xf>
    <xf numFmtId="0" fontId="3" fillId="0" borderId="0" xfId="2" applyFont="1" applyBorder="1" applyAlignment="1" applyProtection="1">
      <alignment horizontal="center" vertical="center" wrapText="1"/>
      <protection locked="0"/>
    </xf>
    <xf numFmtId="0" fontId="43" fillId="0" borderId="0" xfId="3" applyFont="1" applyAlignment="1" applyProtection="1">
      <alignment vertical="center"/>
    </xf>
    <xf numFmtId="0" fontId="45" fillId="4" borderId="1" xfId="3" applyFont="1" applyFill="1" applyBorder="1" applyAlignment="1" applyProtection="1">
      <alignment horizontal="center" vertical="center"/>
    </xf>
    <xf numFmtId="165" fontId="45" fillId="4" borderId="1" xfId="1" applyNumberFormat="1" applyFont="1" applyFill="1" applyBorder="1" applyAlignment="1" applyProtection="1">
      <alignment horizontal="center" vertical="center"/>
    </xf>
    <xf numFmtId="0" fontId="46" fillId="0" borderId="0" xfId="3" applyFont="1" applyAlignment="1" applyProtection="1">
      <alignment vertical="center"/>
    </xf>
    <xf numFmtId="0" fontId="41" fillId="0" borderId="1" xfId="3" applyFont="1" applyBorder="1" applyAlignment="1" applyProtection="1">
      <alignment horizontal="center" vertical="center"/>
    </xf>
    <xf numFmtId="0" fontId="41" fillId="0" borderId="1" xfId="3" applyFont="1" applyBorder="1" applyAlignment="1" applyProtection="1">
      <alignment horizontal="left" vertical="center" wrapText="1" indent="1"/>
    </xf>
    <xf numFmtId="164" fontId="41" fillId="3" borderId="1" xfId="3" applyNumberFormat="1" applyFont="1" applyFill="1" applyBorder="1" applyAlignment="1" applyProtection="1">
      <alignment horizontal="right" vertical="center"/>
    </xf>
    <xf numFmtId="0" fontId="35" fillId="0" borderId="1" xfId="3" applyFont="1" applyBorder="1" applyAlignment="1" applyProtection="1">
      <alignment horizontal="center" vertical="center"/>
    </xf>
    <xf numFmtId="0" fontId="35" fillId="0" borderId="1" xfId="3" applyFont="1" applyBorder="1" applyAlignment="1" applyProtection="1">
      <alignment horizontal="left" vertical="center" wrapText="1" indent="1"/>
    </xf>
    <xf numFmtId="0" fontId="35" fillId="0" borderId="0" xfId="3" applyFont="1" applyAlignment="1" applyProtection="1">
      <alignment vertical="center"/>
    </xf>
    <xf numFmtId="164" fontId="35" fillId="3" borderId="1" xfId="3" applyNumberFormat="1" applyFont="1" applyFill="1" applyBorder="1" applyAlignment="1" applyProtection="1">
      <alignment horizontal="right" vertical="center"/>
    </xf>
    <xf numFmtId="164" fontId="4" fillId="3" borderId="1" xfId="3" applyNumberFormat="1" applyFont="1" applyFill="1" applyBorder="1" applyAlignment="1" applyProtection="1">
      <alignment horizontal="center" vertical="center"/>
    </xf>
    <xf numFmtId="9" fontId="35" fillId="3" borderId="1" xfId="1" applyFont="1" applyFill="1" applyBorder="1" applyAlignment="1" applyProtection="1">
      <alignment horizontal="right" vertical="center"/>
    </xf>
    <xf numFmtId="0" fontId="43" fillId="3" borderId="0" xfId="3" applyFont="1" applyFill="1" applyBorder="1" applyAlignment="1">
      <alignment horizontal="left" vertical="center"/>
    </xf>
    <xf numFmtId="0" fontId="41" fillId="0" borderId="0" xfId="3" applyFont="1" applyAlignment="1">
      <alignment vertical="center"/>
    </xf>
    <xf numFmtId="0" fontId="45" fillId="4" borderId="1" xfId="3" applyFont="1" applyFill="1" applyBorder="1" applyAlignment="1">
      <alignment horizontal="center" vertical="center" wrapText="1"/>
    </xf>
    <xf numFmtId="0" fontId="46" fillId="0" borderId="0" xfId="3" applyFont="1" applyAlignment="1">
      <alignment vertical="center" wrapText="1"/>
    </xf>
    <xf numFmtId="0" fontId="41" fillId="0" borderId="1" xfId="3" applyFont="1" applyBorder="1" applyAlignment="1">
      <alignment horizontal="center" vertical="center"/>
    </xf>
    <xf numFmtId="0" fontId="41" fillId="0" borderId="1" xfId="3" applyFont="1" applyBorder="1" applyAlignment="1">
      <alignment horizontal="left" vertical="center" wrapText="1" indent="1"/>
    </xf>
    <xf numFmtId="165" fontId="41" fillId="3" borderId="1" xfId="1" applyNumberFormat="1" applyFont="1" applyFill="1" applyBorder="1" applyAlignment="1" applyProtection="1">
      <alignment horizontal="center" vertical="center"/>
    </xf>
    <xf numFmtId="165" fontId="41" fillId="3" borderId="1" xfId="1" applyNumberFormat="1" applyFont="1" applyFill="1" applyBorder="1" applyAlignment="1" applyProtection="1">
      <alignment horizontal="right" vertical="center"/>
    </xf>
    <xf numFmtId="167" fontId="35" fillId="3" borderId="1" xfId="3" applyNumberFormat="1" applyFont="1" applyFill="1" applyBorder="1" applyAlignment="1" applyProtection="1">
      <alignment horizontal="right" vertical="center"/>
    </xf>
    <xf numFmtId="0" fontId="41" fillId="0" borderId="1" xfId="3" applyFont="1" applyBorder="1" applyAlignment="1" applyProtection="1">
      <alignment horizontal="left" vertical="center" wrapText="1" indent="2"/>
    </xf>
    <xf numFmtId="167" fontId="41" fillId="3" borderId="1" xfId="3" applyNumberFormat="1" applyFont="1" applyFill="1" applyBorder="1" applyAlignment="1" applyProtection="1">
      <alignment horizontal="right" vertical="center"/>
    </xf>
    <xf numFmtId="165" fontId="35" fillId="3" borderId="1" xfId="1" applyNumberFormat="1" applyFont="1" applyFill="1" applyBorder="1" applyAlignment="1" applyProtection="1">
      <alignment horizontal="right" vertical="center"/>
    </xf>
    <xf numFmtId="0" fontId="41" fillId="0" borderId="1" xfId="3" applyFont="1" applyBorder="1" applyAlignment="1" applyProtection="1">
      <alignment vertical="center"/>
    </xf>
    <xf numFmtId="9" fontId="41" fillId="3" borderId="1" xfId="1" applyNumberFormat="1" applyFont="1" applyFill="1" applyBorder="1" applyAlignment="1" applyProtection="1">
      <alignment horizontal="right" vertical="center"/>
    </xf>
    <xf numFmtId="164" fontId="35" fillId="5" borderId="1" xfId="3" applyNumberFormat="1" applyFont="1" applyFill="1" applyBorder="1" applyAlignment="1" applyProtection="1">
      <alignment horizontal="right" vertical="center"/>
      <protection locked="0"/>
    </xf>
    <xf numFmtId="165" fontId="35" fillId="5" borderId="1" xfId="1" applyNumberFormat="1" applyFont="1" applyFill="1" applyBorder="1" applyAlignment="1" applyProtection="1">
      <alignment horizontal="center" vertical="center"/>
      <protection locked="0"/>
    </xf>
    <xf numFmtId="0" fontId="47" fillId="4" borderId="1" xfId="3" applyFont="1" applyFill="1" applyBorder="1" applyAlignment="1">
      <alignment horizontal="center" vertical="center"/>
    </xf>
    <xf numFmtId="3" fontId="0" fillId="5" borderId="1" xfId="1" applyNumberFormat="1" applyFont="1" applyFill="1" applyBorder="1" applyProtection="1">
      <protection locked="0"/>
    </xf>
    <xf numFmtId="165" fontId="0" fillId="5" borderId="1" xfId="1" applyNumberFormat="1" applyFont="1" applyFill="1" applyBorder="1" applyAlignment="1" applyProtection="1">
      <alignment vertical="center"/>
      <protection locked="0"/>
    </xf>
    <xf numFmtId="3" fontId="2" fillId="5" borderId="1" xfId="1" applyNumberFormat="1" applyFont="1" applyFill="1" applyBorder="1" applyAlignment="1" applyProtection="1">
      <alignment vertical="center"/>
      <protection locked="0"/>
    </xf>
    <xf numFmtId="0" fontId="20" fillId="0" borderId="2" xfId="3" applyFont="1" applyBorder="1" applyAlignment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20" fillId="0" borderId="3" xfId="3" applyFont="1" applyBorder="1" applyAlignment="1">
      <alignment horizontal="center" vertical="center"/>
    </xf>
    <xf numFmtId="0" fontId="7" fillId="0" borderId="2" xfId="3" applyFont="1" applyBorder="1" applyAlignment="1">
      <alignment horizontal="left" vertical="center" indent="1"/>
    </xf>
    <xf numFmtId="0" fontId="7" fillId="0" borderId="4" xfId="3" applyFont="1" applyBorder="1" applyAlignment="1">
      <alignment horizontal="left" vertical="center" indent="1"/>
    </xf>
    <xf numFmtId="0" fontId="7" fillId="0" borderId="3" xfId="3" applyFont="1" applyBorder="1" applyAlignment="1">
      <alignment horizontal="left" vertical="center" indent="1"/>
    </xf>
    <xf numFmtId="0" fontId="11" fillId="6" borderId="8" xfId="3" applyFont="1" applyFill="1" applyBorder="1" applyAlignment="1">
      <alignment horizontal="left" vertical="center" indent="1"/>
    </xf>
    <xf numFmtId="0" fontId="11" fillId="6" borderId="9" xfId="3" applyFont="1" applyFill="1" applyBorder="1" applyAlignment="1">
      <alignment horizontal="left" vertical="center" indent="1"/>
    </xf>
    <xf numFmtId="0" fontId="11" fillId="6" borderId="10" xfId="3" applyFont="1" applyFill="1" applyBorder="1" applyAlignment="1">
      <alignment horizontal="left" vertical="center" indent="1"/>
    </xf>
    <xf numFmtId="0" fontId="7" fillId="6" borderId="8" xfId="3" applyFont="1" applyFill="1" applyBorder="1" applyAlignment="1">
      <alignment horizontal="left" vertical="center" indent="2"/>
    </xf>
    <xf numFmtId="0" fontId="7" fillId="6" borderId="9" xfId="3" applyFont="1" applyFill="1" applyBorder="1" applyAlignment="1">
      <alignment horizontal="left" vertical="center" indent="2"/>
    </xf>
    <xf numFmtId="0" fontId="7" fillId="6" borderId="10" xfId="3" applyFont="1" applyFill="1" applyBorder="1" applyAlignment="1">
      <alignment horizontal="left" vertical="center" indent="2"/>
    </xf>
    <xf numFmtId="0" fontId="11" fillId="4" borderId="2" xfId="3" applyFont="1" applyFill="1" applyBorder="1" applyAlignment="1">
      <alignment horizontal="center" vertical="center"/>
    </xf>
    <xf numFmtId="0" fontId="11" fillId="4" borderId="4" xfId="3" applyFont="1" applyFill="1" applyBorder="1" applyAlignment="1">
      <alignment horizontal="center" vertical="center"/>
    </xf>
    <xf numFmtId="0" fontId="11" fillId="4" borderId="3" xfId="3" applyFont="1" applyFill="1" applyBorder="1" applyAlignment="1">
      <alignment horizontal="center" vertical="center"/>
    </xf>
    <xf numFmtId="0" fontId="11" fillId="5" borderId="1" xfId="3" applyFont="1" applyFill="1" applyBorder="1" applyAlignment="1" applyProtection="1">
      <alignment horizontal="center" vertical="center"/>
      <protection locked="0"/>
    </xf>
    <xf numFmtId="0" fontId="11" fillId="9" borderId="2" xfId="3" applyFont="1" applyFill="1" applyBorder="1" applyAlignment="1">
      <alignment horizontal="left" vertical="center" wrapText="1" indent="1"/>
    </xf>
    <xf numFmtId="0" fontId="11" fillId="9" borderId="4" xfId="3" applyFont="1" applyFill="1" applyBorder="1" applyAlignment="1">
      <alignment horizontal="left" vertical="center" wrapText="1" indent="1"/>
    </xf>
    <xf numFmtId="0" fontId="11" fillId="9" borderId="3" xfId="3" applyFont="1" applyFill="1" applyBorder="1" applyAlignment="1">
      <alignment horizontal="left" vertical="center" wrapText="1" indent="1"/>
    </xf>
    <xf numFmtId="0" fontId="7" fillId="9" borderId="8" xfId="3" applyFont="1" applyFill="1" applyBorder="1" applyAlignment="1">
      <alignment horizontal="left" vertical="center" indent="2"/>
    </xf>
    <xf numFmtId="0" fontId="7" fillId="9" borderId="9" xfId="3" applyFont="1" applyFill="1" applyBorder="1" applyAlignment="1">
      <alignment horizontal="left" vertical="center" indent="2"/>
    </xf>
    <xf numFmtId="0" fontId="7" fillId="9" borderId="10" xfId="3" applyFont="1" applyFill="1" applyBorder="1" applyAlignment="1">
      <alignment horizontal="left" vertical="center" indent="2"/>
    </xf>
    <xf numFmtId="0" fontId="7" fillId="6" borderId="11" xfId="3" applyFont="1" applyFill="1" applyBorder="1" applyAlignment="1">
      <alignment horizontal="left" vertical="center" indent="2"/>
    </xf>
    <xf numFmtId="0" fontId="7" fillId="6" borderId="0" xfId="3" applyFont="1" applyFill="1" applyBorder="1" applyAlignment="1">
      <alignment horizontal="left" vertical="center" indent="2"/>
    </xf>
    <xf numFmtId="0" fontId="7" fillId="6" borderId="12" xfId="3" applyFont="1" applyFill="1" applyBorder="1" applyAlignment="1">
      <alignment horizontal="left" vertical="center" indent="2"/>
    </xf>
    <xf numFmtId="0" fontId="7" fillId="6" borderId="6" xfId="3" applyFont="1" applyFill="1" applyBorder="1" applyAlignment="1">
      <alignment horizontal="left" vertical="center" indent="2"/>
    </xf>
    <xf numFmtId="0" fontId="7" fillId="6" borderId="5" xfId="3" applyFont="1" applyFill="1" applyBorder="1" applyAlignment="1">
      <alignment horizontal="left" vertical="center" indent="2"/>
    </xf>
    <xf numFmtId="0" fontId="7" fillId="6" borderId="13" xfId="3" applyFont="1" applyFill="1" applyBorder="1" applyAlignment="1">
      <alignment horizontal="left" vertical="center" indent="2"/>
    </xf>
    <xf numFmtId="0" fontId="7" fillId="7" borderId="11" xfId="3" applyFont="1" applyFill="1" applyBorder="1" applyAlignment="1">
      <alignment horizontal="left" vertical="center" indent="2"/>
    </xf>
    <xf numFmtId="0" fontId="7" fillId="7" borderId="0" xfId="3" applyFont="1" applyFill="1" applyBorder="1" applyAlignment="1">
      <alignment horizontal="left" vertical="center" indent="2"/>
    </xf>
    <xf numFmtId="0" fontId="7" fillId="7" borderId="12" xfId="3" applyFont="1" applyFill="1" applyBorder="1" applyAlignment="1">
      <alignment horizontal="left" vertical="center" indent="2"/>
    </xf>
    <xf numFmtId="0" fontId="7" fillId="7" borderId="6" xfId="3" applyFont="1" applyFill="1" applyBorder="1" applyAlignment="1">
      <alignment horizontal="left" vertical="center" indent="2"/>
    </xf>
    <xf numFmtId="0" fontId="7" fillId="7" borderId="5" xfId="3" applyFont="1" applyFill="1" applyBorder="1" applyAlignment="1">
      <alignment horizontal="left" vertical="center" indent="2"/>
    </xf>
    <xf numFmtId="0" fontId="7" fillId="7" borderId="13" xfId="3" applyFont="1" applyFill="1" applyBorder="1" applyAlignment="1">
      <alignment horizontal="left" vertical="center" indent="2"/>
    </xf>
    <xf numFmtId="0" fontId="22" fillId="0" borderId="2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11" fillId="4" borderId="14" xfId="3" applyFont="1" applyFill="1" applyBorder="1" applyAlignment="1">
      <alignment horizontal="center" vertical="center" wrapText="1"/>
    </xf>
    <xf numFmtId="9" fontId="30" fillId="3" borderId="2" xfId="1" applyNumberFormat="1" applyFont="1" applyFill="1" applyBorder="1" applyAlignment="1" applyProtection="1">
      <alignment horizontal="center" vertical="center"/>
    </xf>
    <xf numFmtId="9" fontId="30" fillId="3" borderId="4" xfId="1" applyNumberFormat="1" applyFont="1" applyFill="1" applyBorder="1" applyAlignment="1" applyProtection="1">
      <alignment horizontal="center" vertical="center"/>
    </xf>
    <xf numFmtId="9" fontId="30" fillId="3" borderId="3" xfId="1" applyNumberFormat="1" applyFont="1" applyFill="1" applyBorder="1" applyAlignment="1" applyProtection="1">
      <alignment horizontal="center" vertical="center"/>
    </xf>
    <xf numFmtId="0" fontId="7" fillId="9" borderId="11" xfId="3" applyFont="1" applyFill="1" applyBorder="1" applyAlignment="1">
      <alignment horizontal="left" vertical="center" indent="2"/>
    </xf>
    <xf numFmtId="0" fontId="7" fillId="9" borderId="0" xfId="3" applyFont="1" applyFill="1" applyBorder="1" applyAlignment="1">
      <alignment horizontal="left" vertical="center" indent="2"/>
    </xf>
    <xf numFmtId="0" fontId="7" fillId="9" borderId="12" xfId="3" applyFont="1" applyFill="1" applyBorder="1" applyAlignment="1">
      <alignment horizontal="left" vertical="center" indent="2"/>
    </xf>
    <xf numFmtId="0" fontId="7" fillId="9" borderId="6" xfId="3" applyFont="1" applyFill="1" applyBorder="1" applyAlignment="1">
      <alignment horizontal="left" vertical="center" indent="2"/>
    </xf>
    <xf numFmtId="0" fontId="7" fillId="9" borderId="5" xfId="3" applyFont="1" applyFill="1" applyBorder="1" applyAlignment="1">
      <alignment horizontal="left" vertical="center" indent="2"/>
    </xf>
    <xf numFmtId="0" fontId="7" fillId="9" borderId="13" xfId="3" applyFont="1" applyFill="1" applyBorder="1" applyAlignment="1">
      <alignment horizontal="left" vertical="center" indent="2"/>
    </xf>
    <xf numFmtId="0" fontId="11" fillId="7" borderId="8" xfId="3" applyFont="1" applyFill="1" applyBorder="1" applyAlignment="1">
      <alignment horizontal="left" vertical="center" indent="1"/>
    </xf>
    <xf numFmtId="0" fontId="11" fillId="7" borderId="9" xfId="3" applyFont="1" applyFill="1" applyBorder="1" applyAlignment="1">
      <alignment horizontal="left" vertical="center" indent="1"/>
    </xf>
    <xf numFmtId="0" fontId="11" fillId="7" borderId="10" xfId="3" applyFont="1" applyFill="1" applyBorder="1" applyAlignment="1">
      <alignment horizontal="left" vertical="center" indent="1"/>
    </xf>
    <xf numFmtId="0" fontId="7" fillId="7" borderId="8" xfId="3" applyFont="1" applyFill="1" applyBorder="1" applyAlignment="1">
      <alignment horizontal="left" vertical="center" indent="2"/>
    </xf>
    <xf numFmtId="0" fontId="7" fillId="7" borderId="9" xfId="3" applyFont="1" applyFill="1" applyBorder="1" applyAlignment="1">
      <alignment horizontal="left" vertical="center" indent="2"/>
    </xf>
    <xf numFmtId="0" fontId="7" fillId="7" borderId="10" xfId="3" applyFont="1" applyFill="1" applyBorder="1" applyAlignment="1">
      <alignment horizontal="left" vertical="center" indent="2"/>
    </xf>
    <xf numFmtId="0" fontId="0" fillId="0" borderId="0" xfId="0" applyFont="1" applyAlignment="1">
      <alignment horizontal="center"/>
    </xf>
    <xf numFmtId="0" fontId="34" fillId="0" borderId="14" xfId="3" applyFont="1" applyBorder="1" applyAlignment="1">
      <alignment horizontal="center" vertical="center" wrapText="1"/>
    </xf>
    <xf numFmtId="0" fontId="34" fillId="0" borderId="15" xfId="3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35" fillId="10" borderId="1" xfId="3" applyFont="1" applyFill="1" applyBorder="1" applyAlignment="1" applyProtection="1">
      <alignment horizontal="center" vertical="center"/>
    </xf>
    <xf numFmtId="0" fontId="8" fillId="4" borderId="1" xfId="3" applyFont="1" applyFill="1" applyBorder="1" applyAlignment="1" applyProtection="1">
      <alignment horizontal="center" vertical="center"/>
    </xf>
    <xf numFmtId="0" fontId="9" fillId="0" borderId="1" xfId="3" applyFont="1" applyBorder="1" applyAlignment="1" applyProtection="1">
      <alignment horizontal="left" vertical="center" wrapText="1" inden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170" fontId="0" fillId="5" borderId="14" xfId="1" applyNumberFormat="1" applyFont="1" applyFill="1" applyBorder="1" applyAlignment="1" applyProtection="1">
      <alignment horizontal="center" vertical="center"/>
      <protection locked="0"/>
    </xf>
    <xf numFmtId="170" fontId="0" fillId="5" borderId="16" xfId="1" applyNumberFormat="1" applyFont="1" applyFill="1" applyBorder="1" applyAlignment="1" applyProtection="1">
      <alignment horizontal="center" vertical="center"/>
      <protection locked="0"/>
    </xf>
    <xf numFmtId="170" fontId="0" fillId="5" borderId="15" xfId="1" applyNumberFormat="1" applyFont="1" applyFill="1" applyBorder="1" applyAlignment="1" applyProtection="1">
      <alignment horizontal="center" vertical="center"/>
      <protection locked="0"/>
    </xf>
    <xf numFmtId="165" fontId="0" fillId="5" borderId="14" xfId="1" applyNumberFormat="1" applyFont="1" applyFill="1" applyBorder="1" applyAlignment="1" applyProtection="1">
      <alignment horizontal="center" vertical="center"/>
      <protection locked="0"/>
    </xf>
    <xf numFmtId="165" fontId="0" fillId="5" borderId="16" xfId="1" applyNumberFormat="1" applyFont="1" applyFill="1" applyBorder="1" applyAlignment="1" applyProtection="1">
      <alignment horizontal="center" vertical="center"/>
      <protection locked="0"/>
    </xf>
    <xf numFmtId="165" fontId="0" fillId="5" borderId="15" xfId="1" applyNumberFormat="1" applyFont="1" applyFill="1" applyBorder="1" applyAlignment="1" applyProtection="1">
      <alignment horizontal="center" vertical="center"/>
      <protection locked="0"/>
    </xf>
  </cellXfs>
  <cellStyles count="6">
    <cellStyle name="Гиперссылка" xfId="2" builtinId="8"/>
    <cellStyle name="Гиперссылка 2" xfId="5"/>
    <cellStyle name="Обычный" xfId="0" builtinId="0"/>
    <cellStyle name="Обычный 3" xfId="3"/>
    <cellStyle name="Обычный 4 7" xfId="4"/>
    <cellStyle name="Процентный" xfId="1" builtinId="5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Бюджет налогов и отчислений при различных системах н/о, тыс. руб.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СВОД!$B$20</c:f>
              <c:strCache>
                <c:ptCount val="1"/>
                <c:pt idx="0">
                  <c:v>НДС к уплате в бюджет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СВОД!$F$20:$J$20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СВОД!$B$21</c:f>
              <c:strCache>
                <c:ptCount val="1"/>
                <c:pt idx="0">
                  <c:v>Налог на прибыль</c:v>
                </c:pt>
              </c:strCache>
            </c:strRef>
          </c:tx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СВОД!$F$21:$J$21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СВОД!$B$22</c:f>
              <c:strCache>
                <c:ptCount val="1"/>
                <c:pt idx="0">
                  <c:v>ЕНВД</c:v>
                </c:pt>
              </c:strCache>
            </c:strRef>
          </c:tx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СВОД!$F$22:$J$22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СВОД!$B$23</c:f>
              <c:strCache>
                <c:ptCount val="1"/>
                <c:pt idx="0">
                  <c:v>УСНО</c:v>
                </c:pt>
              </c:strCache>
            </c:strRef>
          </c:tx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СВОД!$F$23:$J$23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СВОД!$B$24</c:f>
              <c:strCache>
                <c:ptCount val="1"/>
                <c:pt idx="0">
                  <c:v>патент</c:v>
                </c:pt>
              </c:strCache>
            </c:strRef>
          </c:tx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СВОД!$F$24:$J$24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СВОД!$B$25</c:f>
              <c:strCache>
                <c:ptCount val="1"/>
                <c:pt idx="0">
                  <c:v>налог с владельцев т/с</c:v>
                </c:pt>
              </c:strCache>
            </c:strRef>
          </c:tx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СВОД!$F$25:$J$25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СВОД!$B$26</c:f>
              <c:strCache>
                <c:ptCount val="1"/>
                <c:pt idx="0">
                  <c:v>налог на имущество</c:v>
                </c:pt>
              </c:strCache>
            </c:strRef>
          </c:tx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СВОД!$F$26:$J$26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7"/>
          <c:tx>
            <c:strRef>
              <c:f>СВОД!$B$27</c:f>
              <c:strCache>
                <c:ptCount val="1"/>
                <c:pt idx="0">
                  <c:v>налог на землю</c:v>
                </c:pt>
              </c:strCache>
            </c:strRef>
          </c:tx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СВОД!$F$27:$J$27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8"/>
          <c:tx>
            <c:strRef>
              <c:f>СВОД!$B$28</c:f>
              <c:strCache>
                <c:ptCount val="1"/>
                <c:pt idx="0">
                  <c:v>прочие налоги</c:v>
                </c:pt>
              </c:strCache>
            </c:strRef>
          </c:tx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СВОД!$F$28:$J$28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СВОД!$B$29</c:f>
              <c:strCache>
                <c:ptCount val="1"/>
                <c:pt idx="0">
                  <c:v>отчисления от ФОТ</c:v>
                </c:pt>
              </c:strCache>
            </c:strRef>
          </c:tx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СВОД!$F$29:$J$29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gapWidth val="95"/>
        <c:overlap val="100"/>
        <c:axId val="80340480"/>
        <c:axId val="80342016"/>
      </c:barChart>
      <c:catAx>
        <c:axId val="80340480"/>
        <c:scaling>
          <c:orientation val="minMax"/>
        </c:scaling>
        <c:axPos val="b"/>
        <c:majorTickMark val="none"/>
        <c:tickLblPos val="nextTo"/>
        <c:crossAx val="80342016"/>
        <c:crosses val="autoZero"/>
        <c:auto val="1"/>
        <c:lblAlgn val="ctr"/>
        <c:lblOffset val="100"/>
      </c:catAx>
      <c:valAx>
        <c:axId val="80342016"/>
        <c:scaling>
          <c:orientation val="minMax"/>
        </c:scaling>
        <c:axPos val="l"/>
        <c:majorGridlines/>
        <c:numFmt formatCode="#,##0_ ;[Red]\-#,##0\ " sourceLinked="1"/>
        <c:majorTickMark val="none"/>
        <c:tickLblPos val="nextTo"/>
        <c:crossAx val="803404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Прогноз доходов и расходов за 2020г</a:t>
            </a:r>
          </a:p>
          <a:p>
            <a:pPr>
              <a:defRPr sz="1600"/>
            </a:pPr>
            <a:r>
              <a:rPr lang="ru-RU" sz="1600"/>
              <a:t>(Упр Учет) при различных системах н/о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СВОД!$B$8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СВОД!$F$7:$J$7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СВОД!$F$8:$J$8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СВОД!$B$9</c:f>
              <c:strCache>
                <c:ptCount val="1"/>
                <c:pt idx="0">
                  <c:v>Расходы + налоги</c:v>
                </c:pt>
              </c:strCache>
            </c:strRef>
          </c:tx>
          <c:spPr>
            <a:solidFill>
              <a:srgbClr val="FFAFAF"/>
            </a:solidFill>
          </c:spPr>
          <c:cat>
            <c:strRef>
              <c:f>СВОД!$F$7:$J$7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СВОД!$F$9:$J$9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СВОД!$B$10</c:f>
              <c:strCache>
                <c:ptCount val="1"/>
                <c:pt idx="0">
                  <c:v>Чистая прибыль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СВОД!$F$7:$J$7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СВОД!$F$10:$J$10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axId val="80575104"/>
        <c:axId val="80597376"/>
      </c:barChart>
      <c:catAx>
        <c:axId val="80575104"/>
        <c:scaling>
          <c:orientation val="minMax"/>
        </c:scaling>
        <c:axPos val="b"/>
        <c:majorTickMark val="none"/>
        <c:tickLblPos val="nextTo"/>
        <c:crossAx val="80597376"/>
        <c:crosses val="autoZero"/>
        <c:auto val="1"/>
        <c:lblAlgn val="ctr"/>
        <c:lblOffset val="100"/>
      </c:catAx>
      <c:valAx>
        <c:axId val="80597376"/>
        <c:scaling>
          <c:orientation val="minMax"/>
        </c:scaling>
        <c:axPos val="l"/>
        <c:numFmt formatCode="#,##0_ ;[Red]\-#,##0\ " sourceLinked="1"/>
        <c:majorTickMark val="none"/>
        <c:tickLblPos val="nextTo"/>
        <c:crossAx val="805751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Расходы по ИП на налоги</a:t>
            </a:r>
            <a:r>
              <a:rPr lang="ru-RU" sz="1400" baseline="0"/>
              <a:t> и отчисления за себя (тыс. руб.) и налоговая нагрузка (%) в зависимости от дохода за год</a:t>
            </a:r>
            <a:endParaRPr lang="ru-RU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'ИП без сотрудников'!$B$7</c:f>
              <c:strCache>
                <c:ptCount val="1"/>
                <c:pt idx="0">
                  <c:v>Расходы по уплате налога по УСН и отчислений за себя</c:v>
                </c:pt>
              </c:strCache>
            </c:strRef>
          </c:tx>
          <c:spPr>
            <a:solidFill>
              <a:schemeClr val="accent3"/>
            </a:solidFill>
          </c:spPr>
          <c:cat>
            <c:numRef>
              <c:f>'ИП без сотрудников'!$F$6:$K$6</c:f>
              <c:numCache>
                <c:formatCode>#,##0_ ;[Red]\-#,##0\ </c:formatCode>
                <c:ptCount val="6"/>
                <c:pt idx="0">
                  <c:v>250</c:v>
                </c:pt>
                <c:pt idx="1">
                  <c:v>300</c:v>
                </c:pt>
                <c:pt idx="2">
                  <c:v>500</c:v>
                </c:pt>
                <c:pt idx="3">
                  <c:v>1000</c:v>
                </c:pt>
                <c:pt idx="4">
                  <c:v>1500</c:v>
                </c:pt>
                <c:pt idx="5">
                  <c:v>2000</c:v>
                </c:pt>
              </c:numCache>
            </c:numRef>
          </c:cat>
          <c:val>
            <c:numRef>
              <c:f>'ИП без сотрудников'!$F$7:$K$7</c:f>
              <c:numCache>
                <c:formatCode>#,##0.0_ ;[Red]\-#,##0.0\ </c:formatCode>
                <c:ptCount val="6"/>
                <c:pt idx="0">
                  <c:v>40.874000000000002</c:v>
                </c:pt>
                <c:pt idx="1">
                  <c:v>40.874000000000002</c:v>
                </c:pt>
                <c:pt idx="2">
                  <c:v>42.874000000000002</c:v>
                </c:pt>
                <c:pt idx="3">
                  <c:v>47.874000000000002</c:v>
                </c:pt>
                <c:pt idx="4">
                  <c:v>60</c:v>
                </c:pt>
                <c:pt idx="5">
                  <c:v>80</c:v>
                </c:pt>
              </c:numCache>
            </c:numRef>
          </c:val>
        </c:ser>
        <c:dLbls/>
        <c:axId val="81015168"/>
        <c:axId val="81016704"/>
      </c:barChart>
      <c:lineChart>
        <c:grouping val="standard"/>
        <c:ser>
          <c:idx val="1"/>
          <c:order val="1"/>
          <c:tx>
            <c:strRef>
              <c:f>'ИП без сотрудников'!$B$11</c:f>
              <c:strCache>
                <c:ptCount val="1"/>
                <c:pt idx="0">
                  <c:v>Налоговая нагрузка</c:v>
                </c:pt>
              </c:strCache>
            </c:strRef>
          </c:tx>
          <c:marker>
            <c:symbol val="none"/>
          </c:marker>
          <c:val>
            <c:numRef>
              <c:f>'ИП без сотрудников'!$F$11:$K$11</c:f>
              <c:numCache>
                <c:formatCode>0.0%</c:formatCode>
                <c:ptCount val="6"/>
                <c:pt idx="0">
                  <c:v>0.163496</c:v>
                </c:pt>
                <c:pt idx="1">
                  <c:v>0.13624666666666668</c:v>
                </c:pt>
                <c:pt idx="2">
                  <c:v>8.5748000000000005E-2</c:v>
                </c:pt>
                <c:pt idx="3">
                  <c:v>4.7874E-2</c:v>
                </c:pt>
                <c:pt idx="4">
                  <c:v>0.04</c:v>
                </c:pt>
                <c:pt idx="5">
                  <c:v>0.04</c:v>
                </c:pt>
              </c:numCache>
            </c:numRef>
          </c:val>
        </c:ser>
        <c:dLbls/>
        <c:marker val="1"/>
        <c:axId val="81041280"/>
        <c:axId val="81039360"/>
      </c:lineChart>
      <c:catAx>
        <c:axId val="81015168"/>
        <c:scaling>
          <c:orientation val="minMax"/>
        </c:scaling>
        <c:axPos val="b"/>
        <c:numFmt formatCode="#,##0_ ;[Red]\-#,##0\ " sourceLinked="1"/>
        <c:majorTickMark val="none"/>
        <c:tickLblPos val="nextTo"/>
        <c:crossAx val="81016704"/>
        <c:crosses val="autoZero"/>
        <c:auto val="1"/>
        <c:lblAlgn val="ctr"/>
        <c:lblOffset val="100"/>
      </c:catAx>
      <c:valAx>
        <c:axId val="810167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бюджет налогшов</a:t>
                </a:r>
              </a:p>
              <a:p>
                <a:pPr>
                  <a:defRPr/>
                </a:pPr>
                <a:r>
                  <a:rPr lang="ru-RU"/>
                  <a:t>и отчислений,</a:t>
                </a:r>
                <a:r>
                  <a:rPr lang="ru-RU" baseline="0"/>
                  <a:t> </a:t>
                </a:r>
              </a:p>
              <a:p>
                <a:pPr>
                  <a:defRPr/>
                </a:pPr>
                <a:r>
                  <a:rPr lang="ru-RU" baseline="0"/>
                  <a:t>ыс. руб.</a:t>
                </a:r>
                <a:endParaRPr lang="ru-RU"/>
              </a:p>
            </c:rich>
          </c:tx>
        </c:title>
        <c:numFmt formatCode="#,##0.0_ ;[Red]\-#,##0.0\ " sourceLinked="1"/>
        <c:majorTickMark val="none"/>
        <c:tickLblPos val="nextTo"/>
        <c:crossAx val="81015168"/>
        <c:crosses val="autoZero"/>
        <c:crossBetween val="between"/>
      </c:valAx>
      <c:valAx>
        <c:axId val="8103936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налоговая нагрузка, %</a:t>
                </a:r>
              </a:p>
            </c:rich>
          </c:tx>
        </c:title>
        <c:numFmt formatCode="0.0%" sourceLinked="1"/>
        <c:tickLblPos val="nextTo"/>
        <c:crossAx val="81041280"/>
        <c:crosses val="max"/>
        <c:crossBetween val="between"/>
      </c:valAx>
      <c:catAx>
        <c:axId val="81041280"/>
        <c:scaling>
          <c:orientation val="minMax"/>
        </c:scaling>
        <c:delete val="1"/>
        <c:axPos val="b"/>
        <c:tickLblPos val="none"/>
        <c:crossAx val="81039360"/>
        <c:crosses val="autoZero"/>
        <c:auto val="1"/>
        <c:lblAlgn val="ctr"/>
        <c:lblOffset val="100"/>
      </c:cat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Налоговая нагрузка при доходе  1 000 тыс. руб. /год</a:t>
            </a:r>
          </a:p>
          <a:p>
            <a:pPr>
              <a:defRPr/>
            </a:pPr>
            <a:r>
              <a:rPr lang="ru-RU"/>
              <a:t>при различных</a:t>
            </a:r>
            <a:r>
              <a:rPr lang="ru-RU" baseline="0"/>
              <a:t> ставках налога по УСН (Доходы)</a:t>
            </a:r>
            <a:endParaRPr lang="ru-RU"/>
          </a:p>
        </c:rich>
      </c:tx>
    </c:title>
    <c:plotArea>
      <c:layout>
        <c:manualLayout>
          <c:layoutTarget val="inner"/>
          <c:xMode val="edge"/>
          <c:yMode val="edge"/>
          <c:x val="1.7414249468285747E-2"/>
          <c:y val="0.2083798882681564"/>
          <c:w val="0.96517150106342864"/>
          <c:h val="0.67066437924309752"/>
        </c:manualLayout>
      </c:layout>
      <c:barChart>
        <c:barDir val="col"/>
        <c:grouping val="clustered"/>
        <c:ser>
          <c:idx val="1"/>
          <c:order val="0"/>
          <c:tx>
            <c:strRef>
              <c:f>'ИП без сотрудников'!$B$34</c:f>
              <c:strCache>
                <c:ptCount val="1"/>
                <c:pt idx="0">
                  <c:v>Налоговая нагрузка</c:v>
                </c:pt>
              </c:strCache>
            </c:strRef>
          </c:tx>
          <c:spPr>
            <a:solidFill>
              <a:schemeClr val="accent1"/>
            </a:solidFill>
          </c:spPr>
          <c:dLbls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Val val="1"/>
          </c:dLbls>
          <c:cat>
            <c:strRef>
              <c:f>'ИП без сотрудников'!$F$32:$K$32</c:f>
              <c:strCache>
                <c:ptCount val="6"/>
                <c:pt idx="0">
                  <c:v>Налог 1%</c:v>
                </c:pt>
                <c:pt idx="1">
                  <c:v>Налог 2%</c:v>
                </c:pt>
                <c:pt idx="2">
                  <c:v>Налог 3%</c:v>
                </c:pt>
                <c:pt idx="3">
                  <c:v>Налог 4%</c:v>
                </c:pt>
                <c:pt idx="4">
                  <c:v>Налог 5%</c:v>
                </c:pt>
                <c:pt idx="5">
                  <c:v>Налог 6%</c:v>
                </c:pt>
              </c:strCache>
            </c:strRef>
          </c:cat>
          <c:val>
            <c:numRef>
              <c:f>'ИП без сотрудников'!$F$34:$K$34</c:f>
              <c:numCache>
                <c:formatCode>0.0%</c:formatCode>
                <c:ptCount val="6"/>
                <c:pt idx="0">
                  <c:v>4.8000000000000001E-2</c:v>
                </c:pt>
                <c:pt idx="1">
                  <c:v>4.8000000000000001E-2</c:v>
                </c:pt>
                <c:pt idx="2">
                  <c:v>4.8000000000000001E-2</c:v>
                </c:pt>
                <c:pt idx="3">
                  <c:v>4.8000000000000001E-2</c:v>
                </c:pt>
                <c:pt idx="4">
                  <c:v>0.05</c:v>
                </c:pt>
                <c:pt idx="5">
                  <c:v>0.06</c:v>
                </c:pt>
              </c:numCache>
            </c:numRef>
          </c:val>
        </c:ser>
        <c:dLbls/>
        <c:axId val="81076608"/>
        <c:axId val="81078144"/>
      </c:barChart>
      <c:catAx>
        <c:axId val="810766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81078144"/>
        <c:crosses val="autoZero"/>
        <c:auto val="1"/>
        <c:lblAlgn val="ctr"/>
        <c:lblOffset val="100"/>
      </c:catAx>
      <c:valAx>
        <c:axId val="8107814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8107660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133350</xdr:rowOff>
    </xdr:from>
    <xdr:to>
      <xdr:col>0</xdr:col>
      <xdr:colOff>2076450</xdr:colOff>
      <xdr:row>6</xdr:row>
      <xdr:rowOff>76200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295275"/>
          <a:ext cx="1943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4514850</xdr:colOff>
      <xdr:row>1</xdr:row>
      <xdr:rowOff>9525</xdr:rowOff>
    </xdr:from>
    <xdr:to>
      <xdr:col>0</xdr:col>
      <xdr:colOff>6305551</xdr:colOff>
      <xdr:row>7</xdr:row>
      <xdr:rowOff>19050</xdr:rowOff>
    </xdr:to>
    <xdr:pic>
      <xdr:nvPicPr>
        <xdr:cNvPr id="3" name="Рисунок 2" descr="Логотип"/>
        <xdr:cNvPicPr/>
      </xdr:nvPicPr>
      <xdr:blipFill>
        <a:blip xmlns:r="http://schemas.openxmlformats.org/officeDocument/2006/relationships" r:embed="rId2" cstate="print"/>
        <a:stretch>
          <a:fillRect l="231" r="231"/>
        </a:stretch>
      </xdr:blipFill>
      <xdr:spPr>
        <a:xfrm>
          <a:off x="4514850" y="171450"/>
          <a:ext cx="1790701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2209800</xdr:colOff>
      <xdr:row>2</xdr:row>
      <xdr:rowOff>28575</xdr:rowOff>
    </xdr:from>
    <xdr:to>
      <xdr:col>0</xdr:col>
      <xdr:colOff>4295775</xdr:colOff>
      <xdr:row>5</xdr:row>
      <xdr:rowOff>123825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09800" y="352425"/>
          <a:ext cx="20859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81492</xdr:colOff>
      <xdr:row>20</xdr:row>
      <xdr:rowOff>42334</xdr:rowOff>
    </xdr:from>
    <xdr:to>
      <xdr:col>17</xdr:col>
      <xdr:colOff>510117</xdr:colOff>
      <xdr:row>40</xdr:row>
      <xdr:rowOff>275167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123824</xdr:colOff>
      <xdr:row>4</xdr:row>
      <xdr:rowOff>180975</xdr:rowOff>
    </xdr:from>
    <xdr:to>
      <xdr:col>17</xdr:col>
      <xdr:colOff>542924</xdr:colOff>
      <xdr:row>18</xdr:row>
      <xdr:rowOff>84666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137582</xdr:colOff>
      <xdr:row>12</xdr:row>
      <xdr:rowOff>30691</xdr:rowOff>
    </xdr:from>
    <xdr:to>
      <xdr:col>10</xdr:col>
      <xdr:colOff>1322915</xdr:colOff>
      <xdr:row>26</xdr:row>
      <xdr:rowOff>42333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201084</xdr:colOff>
      <xdr:row>34</xdr:row>
      <xdr:rowOff>157690</xdr:rowOff>
    </xdr:from>
    <xdr:to>
      <xdr:col>10</xdr:col>
      <xdr:colOff>1291166</xdr:colOff>
      <xdr:row>50</xdr:row>
      <xdr:rowOff>11640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359833</xdr:colOff>
      <xdr:row>4</xdr:row>
      <xdr:rowOff>169333</xdr:rowOff>
    </xdr:from>
    <xdr:to>
      <xdr:col>18</xdr:col>
      <xdr:colOff>80593</xdr:colOff>
      <xdr:row>19</xdr:row>
      <xdr:rowOff>116417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562416" y="1185333"/>
          <a:ext cx="5573344" cy="4180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sozonov@mail.r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consultant.ru/document/cons_doc_LAW_28165/2428f19fbea7040de2388dd179c39e787cc0d07d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50"/>
  <sheetViews>
    <sheetView showGridLines="0" view="pageBreakPreview" topLeftCell="A17" zoomScaleNormal="100" zoomScaleSheetLayoutView="100" workbookViewId="0">
      <selection activeCell="I54" sqref="I54"/>
    </sheetView>
  </sheetViews>
  <sheetFormatPr defaultRowHeight="12.75"/>
  <cols>
    <col min="1" max="1" width="95.85546875" customWidth="1"/>
  </cols>
  <sheetData>
    <row r="1" spans="1:1">
      <c r="A1" s="106"/>
    </row>
    <row r="7" spans="1:1">
      <c r="A7" s="106"/>
    </row>
    <row r="8" spans="1:1" ht="13.5" customHeight="1"/>
    <row r="9" spans="1:1" ht="13.5" customHeight="1"/>
    <row r="10" spans="1:1" ht="13.5" customHeight="1"/>
    <row r="11" spans="1:1" ht="13.5" customHeight="1"/>
    <row r="21" spans="1:1" ht="128.25">
      <c r="A21" s="88" t="s">
        <v>236</v>
      </c>
    </row>
    <row r="23" spans="1:1">
      <c r="A23" s="96" t="s">
        <v>217</v>
      </c>
    </row>
    <row r="48" spans="1:1">
      <c r="A48" s="89" t="s">
        <v>205</v>
      </c>
    </row>
    <row r="49" spans="1:1">
      <c r="A49" s="90">
        <v>44136</v>
      </c>
    </row>
    <row r="50" spans="1:1">
      <c r="A50" s="149" t="s">
        <v>325</v>
      </c>
    </row>
  </sheetData>
  <sheetProtection password="C7B9" sheet="1" objects="1" scenarios="1"/>
  <hyperlinks>
    <hyperlink ref="A50" r:id="rId1"/>
  </hyperlinks>
  <printOptions horizontalCentered="1"/>
  <pageMargins left="0.70866141732283472" right="0.44" top="0.74803149606299213" bottom="0.74803149606299213" header="0.31496062992125984" footer="0.31496062992125984"/>
  <pageSetup paperSize="9" scale="96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4"/>
  <sheetViews>
    <sheetView showGridLines="0" zoomScale="90" zoomScaleNormal="90" workbookViewId="0">
      <selection activeCell="F6" sqref="F6"/>
    </sheetView>
  </sheetViews>
  <sheetFormatPr defaultColWidth="9.140625" defaultRowHeight="16.5"/>
  <cols>
    <col min="1" max="1" width="7.5703125" style="156" customWidth="1"/>
    <col min="2" max="2" width="35.7109375" style="156" customWidth="1"/>
    <col min="3" max="3" width="0.7109375" style="156" customWidth="1"/>
    <col min="4" max="4" width="13.28515625" style="156" customWidth="1"/>
    <col min="5" max="5" width="0.7109375" style="156" customWidth="1"/>
    <col min="6" max="12" width="20.7109375" style="156" customWidth="1"/>
    <col min="13" max="14" width="15.140625" style="156" customWidth="1"/>
    <col min="15" max="16384" width="9.140625" style="156"/>
  </cols>
  <sheetData>
    <row r="1" spans="1:13" ht="26.25">
      <c r="B1" s="157" t="s">
        <v>324</v>
      </c>
    </row>
    <row r="2" spans="1:13">
      <c r="A2" s="158" t="s">
        <v>327</v>
      </c>
    </row>
    <row r="3" spans="1:13" ht="20.25">
      <c r="A3" s="159"/>
      <c r="B3" s="159"/>
      <c r="J3" s="156" t="s">
        <v>184</v>
      </c>
      <c r="K3" s="187">
        <v>0.04</v>
      </c>
    </row>
    <row r="4" spans="1:13" ht="20.25">
      <c r="M4" s="159" t="s">
        <v>358</v>
      </c>
    </row>
    <row r="5" spans="1:13" ht="18">
      <c r="A5" s="160" t="s">
        <v>7</v>
      </c>
      <c r="B5" s="160" t="s">
        <v>53</v>
      </c>
      <c r="C5" s="162"/>
      <c r="D5" s="160" t="s">
        <v>86</v>
      </c>
      <c r="E5" s="162"/>
      <c r="F5" s="160" t="s">
        <v>249</v>
      </c>
      <c r="G5" s="160" t="s">
        <v>250</v>
      </c>
      <c r="H5" s="160" t="s">
        <v>251</v>
      </c>
      <c r="I5" s="160" t="s">
        <v>252</v>
      </c>
      <c r="J5" s="160" t="s">
        <v>253</v>
      </c>
      <c r="K5" s="160" t="s">
        <v>262</v>
      </c>
    </row>
    <row r="6" spans="1:13">
      <c r="A6" s="166">
        <v>1</v>
      </c>
      <c r="B6" s="167" t="s">
        <v>85</v>
      </c>
      <c r="C6" s="168"/>
      <c r="D6" s="166" t="s">
        <v>75</v>
      </c>
      <c r="E6" s="168"/>
      <c r="F6" s="186">
        <v>250</v>
      </c>
      <c r="G6" s="186">
        <v>300</v>
      </c>
      <c r="H6" s="186">
        <v>500</v>
      </c>
      <c r="I6" s="186">
        <v>1000</v>
      </c>
      <c r="J6" s="186">
        <v>1500</v>
      </c>
      <c r="K6" s="186">
        <v>2000</v>
      </c>
    </row>
    <row r="7" spans="1:13" ht="49.5">
      <c r="A7" s="166">
        <v>2</v>
      </c>
      <c r="B7" s="167" t="s">
        <v>254</v>
      </c>
      <c r="C7" s="168"/>
      <c r="D7" s="166" t="s">
        <v>75</v>
      </c>
      <c r="E7" s="168"/>
      <c r="F7" s="180">
        <f>SUM(F8:F10)</f>
        <v>40.874000000000002</v>
      </c>
      <c r="G7" s="180">
        <f t="shared" ref="G7:K7" si="0">SUM(G8:G10)</f>
        <v>40.874000000000002</v>
      </c>
      <c r="H7" s="180">
        <f t="shared" si="0"/>
        <v>42.874000000000002</v>
      </c>
      <c r="I7" s="180">
        <f t="shared" si="0"/>
        <v>47.874000000000002</v>
      </c>
      <c r="J7" s="180">
        <f t="shared" si="0"/>
        <v>60</v>
      </c>
      <c r="K7" s="180">
        <f t="shared" si="0"/>
        <v>80</v>
      </c>
    </row>
    <row r="8" spans="1:13" ht="33">
      <c r="A8" s="163" t="s">
        <v>2</v>
      </c>
      <c r="B8" s="181" t="s">
        <v>255</v>
      </c>
      <c r="D8" s="163" t="s">
        <v>75</v>
      </c>
      <c r="F8" s="182">
        <f>Библиотеки!$B$18/1000</f>
        <v>40.874000000000002</v>
      </c>
      <c r="G8" s="182">
        <f>Библиотеки!$B$18/1000</f>
        <v>40.874000000000002</v>
      </c>
      <c r="H8" s="182">
        <f>Библиотеки!$B$18/1000</f>
        <v>40.874000000000002</v>
      </c>
      <c r="I8" s="182">
        <f>Библиотеки!$B$18/1000</f>
        <v>40.874000000000002</v>
      </c>
      <c r="J8" s="182">
        <f>Библиотеки!$B$18/1000</f>
        <v>40.874000000000002</v>
      </c>
      <c r="K8" s="182">
        <f>Библиотеки!$B$18/1000</f>
        <v>40.874000000000002</v>
      </c>
    </row>
    <row r="9" spans="1:13" ht="49.5">
      <c r="A9" s="163" t="s">
        <v>3</v>
      </c>
      <c r="B9" s="181" t="s">
        <v>256</v>
      </c>
      <c r="D9" s="163" t="s">
        <v>75</v>
      </c>
      <c r="F9" s="182">
        <f>MAX((F6-300)*Библиотеки!$B$21,0)</f>
        <v>0</v>
      </c>
      <c r="G9" s="182">
        <f>MAX((G6-300)*Библиотеки!$B$21,0)</f>
        <v>0</v>
      </c>
      <c r="H9" s="182">
        <f>MAX((H6-300)*Библиотеки!$B$21,0)</f>
        <v>2</v>
      </c>
      <c r="I9" s="182">
        <f>MAX((I6-300)*Библиотеки!$B$21,0)</f>
        <v>7</v>
      </c>
      <c r="J9" s="182">
        <f>MAX((J6-300)*Библиотеки!$B$21,0)</f>
        <v>12</v>
      </c>
      <c r="K9" s="182">
        <f>MAX((K6-300)*Библиотеки!$B$21,0)</f>
        <v>17</v>
      </c>
    </row>
    <row r="10" spans="1:13">
      <c r="A10" s="163" t="s">
        <v>4</v>
      </c>
      <c r="B10" s="181" t="s">
        <v>257</v>
      </c>
      <c r="D10" s="163" t="s">
        <v>75</v>
      </c>
      <c r="F10" s="182">
        <f t="shared" ref="F10:K10" si="1">MAX(F6*$K$3-SUM(F8:F9),0)</f>
        <v>0</v>
      </c>
      <c r="G10" s="182">
        <f t="shared" si="1"/>
        <v>0</v>
      </c>
      <c r="H10" s="182">
        <f t="shared" si="1"/>
        <v>0</v>
      </c>
      <c r="I10" s="182">
        <f t="shared" si="1"/>
        <v>0</v>
      </c>
      <c r="J10" s="182">
        <f t="shared" si="1"/>
        <v>7.1259999999999977</v>
      </c>
      <c r="K10" s="182">
        <f t="shared" si="1"/>
        <v>22.125999999999998</v>
      </c>
    </row>
    <row r="11" spans="1:13">
      <c r="A11" s="166">
        <v>3</v>
      </c>
      <c r="B11" s="167" t="s">
        <v>146</v>
      </c>
      <c r="C11" s="168"/>
      <c r="D11" s="166" t="s">
        <v>61</v>
      </c>
      <c r="E11" s="168"/>
      <c r="F11" s="183">
        <f>F7/F6</f>
        <v>0.163496</v>
      </c>
      <c r="G11" s="183">
        <f t="shared" ref="G11:J11" si="2">G7/G6</f>
        <v>0.13624666666666668</v>
      </c>
      <c r="H11" s="183">
        <f t="shared" si="2"/>
        <v>8.5748000000000005E-2</v>
      </c>
      <c r="I11" s="183">
        <f t="shared" si="2"/>
        <v>4.7874E-2</v>
      </c>
      <c r="J11" s="183">
        <f t="shared" si="2"/>
        <v>0.04</v>
      </c>
      <c r="K11" s="183">
        <f t="shared" ref="K11" si="3">K7/K6</f>
        <v>0.04</v>
      </c>
    </row>
    <row r="28" spans="1:11" ht="26.25">
      <c r="B28" s="157" t="s">
        <v>357</v>
      </c>
    </row>
    <row r="30" spans="1:11">
      <c r="B30" s="184" t="s">
        <v>263</v>
      </c>
      <c r="D30" s="169">
        <v>1000</v>
      </c>
    </row>
    <row r="32" spans="1:11" ht="18">
      <c r="A32" s="160" t="s">
        <v>7</v>
      </c>
      <c r="B32" s="160" t="s">
        <v>53</v>
      </c>
      <c r="C32" s="162"/>
      <c r="D32" s="160" t="s">
        <v>86</v>
      </c>
      <c r="E32" s="162"/>
      <c r="F32" s="160" t="s">
        <v>264</v>
      </c>
      <c r="G32" s="160" t="s">
        <v>265</v>
      </c>
      <c r="H32" s="160" t="s">
        <v>266</v>
      </c>
      <c r="I32" s="160" t="s">
        <v>267</v>
      </c>
      <c r="J32" s="160" t="s">
        <v>268</v>
      </c>
      <c r="K32" s="160" t="s">
        <v>269</v>
      </c>
    </row>
    <row r="33" spans="1:11" ht="33">
      <c r="A33" s="163">
        <v>1</v>
      </c>
      <c r="B33" s="164" t="s">
        <v>261</v>
      </c>
      <c r="D33" s="163" t="s">
        <v>61</v>
      </c>
      <c r="F33" s="185">
        <v>0.01</v>
      </c>
      <c r="G33" s="185">
        <v>0.02</v>
      </c>
      <c r="H33" s="185">
        <v>0.03</v>
      </c>
      <c r="I33" s="185">
        <v>0.04</v>
      </c>
      <c r="J33" s="185">
        <v>0.05</v>
      </c>
      <c r="K33" s="185">
        <v>0.06</v>
      </c>
    </row>
    <row r="34" spans="1:11">
      <c r="A34" s="163">
        <v>2</v>
      </c>
      <c r="B34" s="164" t="s">
        <v>146</v>
      </c>
      <c r="D34" s="163" t="s">
        <v>61</v>
      </c>
      <c r="F34" s="179">
        <v>4.8000000000000001E-2</v>
      </c>
      <c r="G34" s="179">
        <v>4.8000000000000001E-2</v>
      </c>
      <c r="H34" s="179">
        <v>4.8000000000000001E-2</v>
      </c>
      <c r="I34" s="179">
        <v>4.8000000000000001E-2</v>
      </c>
      <c r="J34" s="179">
        <v>0.05</v>
      </c>
      <c r="K34" s="179">
        <v>0.06</v>
      </c>
    </row>
  </sheetData>
  <sheetProtection password="C7B9" sheet="1" objects="1" scenarios="1"/>
  <hyperlinks>
    <hyperlink ref="A2" location="'Реестр листов'!A1" display="назад"/>
  </hyperlinks>
  <pageMargins left="0.35433070866141736" right="0.31496062992125984" top="0.54" bottom="0.47244094488188981" header="0.31496062992125984" footer="0.31496062992125984"/>
  <pageSetup paperSize="9" scale="50" orientation="landscape" r:id="rId1"/>
  <headerFooter scaleWithDoc="0">
    <oddHeader>&amp;LНалоговый калькулятор ЕНВД/УСНО/ОСНО/Патент&amp;R&amp;A</oddHead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3"/>
  <sheetViews>
    <sheetView showGridLines="0" view="pageBreakPreview" zoomScale="90" zoomScaleNormal="100" zoomScaleSheetLayoutView="90" workbookViewId="0">
      <selection activeCell="G29" sqref="G29"/>
    </sheetView>
  </sheetViews>
  <sheetFormatPr defaultRowHeight="12.75"/>
  <cols>
    <col min="1" max="1" width="44.7109375" customWidth="1"/>
    <col min="2" max="4" width="20.7109375" customWidth="1"/>
    <col min="5" max="5" width="2.5703125" customWidth="1"/>
    <col min="6" max="7" width="17.5703125" customWidth="1"/>
    <col min="8" max="9" width="17.7109375" customWidth="1"/>
  </cols>
  <sheetData>
    <row r="1" spans="1:9">
      <c r="A1" s="47" t="s">
        <v>70</v>
      </c>
    </row>
    <row r="2" spans="1:9">
      <c r="A2" s="40" t="s">
        <v>71</v>
      </c>
      <c r="I2" s="150" t="s">
        <v>327</v>
      </c>
    </row>
    <row r="3" spans="1:9">
      <c r="A3" s="40" t="s">
        <v>72</v>
      </c>
    </row>
    <row r="5" spans="1:9">
      <c r="A5" s="47" t="s">
        <v>156</v>
      </c>
    </row>
    <row r="6" spans="1:9">
      <c r="A6" s="40" t="s">
        <v>73</v>
      </c>
    </row>
    <row r="7" spans="1:9">
      <c r="A7" s="40" t="s">
        <v>74</v>
      </c>
    </row>
    <row r="9" spans="1:9">
      <c r="A9" s="2"/>
      <c r="B9" s="259" t="s">
        <v>144</v>
      </c>
      <c r="C9" s="259"/>
      <c r="D9" s="259"/>
      <c r="F9" s="260" t="s">
        <v>195</v>
      </c>
      <c r="G9" s="261"/>
      <c r="H9" s="260" t="s">
        <v>188</v>
      </c>
      <c r="I9" s="261"/>
    </row>
    <row r="10" spans="1:9" ht="51">
      <c r="A10" s="45" t="s">
        <v>79</v>
      </c>
      <c r="B10" s="45" t="s">
        <v>145</v>
      </c>
      <c r="C10" s="45" t="s">
        <v>146</v>
      </c>
      <c r="D10" s="45" t="s">
        <v>147</v>
      </c>
      <c r="F10" s="45" t="s">
        <v>180</v>
      </c>
      <c r="G10" s="45" t="s">
        <v>181</v>
      </c>
      <c r="H10" s="45" t="s">
        <v>287</v>
      </c>
      <c r="I10" s="45" t="s">
        <v>288</v>
      </c>
    </row>
    <row r="11" spans="1:9">
      <c r="A11" s="40" t="s">
        <v>78</v>
      </c>
      <c r="B11" s="41">
        <v>7.0999999999999994E-2</v>
      </c>
      <c r="C11" s="41">
        <v>0.10100000000000001</v>
      </c>
      <c r="D11" s="41">
        <v>5.8000000000000003E-2</v>
      </c>
      <c r="F11" s="41">
        <v>0.04</v>
      </c>
      <c r="G11" s="41">
        <v>0.15</v>
      </c>
      <c r="H11" s="262">
        <v>1.589</v>
      </c>
      <c r="I11" s="265">
        <v>0.06</v>
      </c>
    </row>
    <row r="12" spans="1:9">
      <c r="A12" s="40" t="s">
        <v>82</v>
      </c>
      <c r="B12" s="41">
        <v>2.5999999999999999E-2</v>
      </c>
      <c r="C12" s="41">
        <v>3.4000000000000002E-2</v>
      </c>
      <c r="D12" s="41">
        <v>2.1000000000000001E-2</v>
      </c>
      <c r="F12" s="41">
        <v>0.04</v>
      </c>
      <c r="G12" s="41">
        <v>0.15</v>
      </c>
      <c r="H12" s="263"/>
      <c r="I12" s="266"/>
    </row>
    <row r="13" spans="1:9">
      <c r="A13" s="40" t="s">
        <v>80</v>
      </c>
      <c r="B13" s="41">
        <v>5.1999999999999998E-2</v>
      </c>
      <c r="C13" s="41">
        <v>6.5000000000000002E-2</v>
      </c>
      <c r="D13" s="41">
        <v>4.5999999999999999E-2</v>
      </c>
      <c r="F13" s="41">
        <v>0.04</v>
      </c>
      <c r="G13" s="41">
        <v>0.15</v>
      </c>
      <c r="H13" s="264"/>
      <c r="I13" s="267"/>
    </row>
    <row r="15" spans="1:9">
      <c r="A15" s="145" t="s">
        <v>242</v>
      </c>
      <c r="B15" s="148"/>
      <c r="C15" s="147"/>
    </row>
    <row r="16" spans="1:9">
      <c r="A16" s="108"/>
    </row>
    <row r="17" spans="1:9">
      <c r="A17" s="45" t="s">
        <v>53</v>
      </c>
      <c r="B17" s="45" t="s">
        <v>244</v>
      </c>
      <c r="C17" s="45" t="s">
        <v>247</v>
      </c>
    </row>
    <row r="18" spans="1:9" ht="38.25">
      <c r="A18" s="111" t="s">
        <v>279</v>
      </c>
      <c r="B18" s="112">
        <f>SUM(B19:B20)</f>
        <v>40874</v>
      </c>
      <c r="C18" s="109"/>
    </row>
    <row r="19" spans="1:9">
      <c r="A19" s="110" t="s">
        <v>245</v>
      </c>
      <c r="B19" s="189">
        <v>32448</v>
      </c>
      <c r="C19" s="109"/>
    </row>
    <row r="20" spans="1:9">
      <c r="A20" s="110" t="s">
        <v>246</v>
      </c>
      <c r="B20" s="189">
        <v>8426</v>
      </c>
      <c r="C20" s="109"/>
    </row>
    <row r="21" spans="1:9" ht="63.75">
      <c r="A21" s="109" t="s">
        <v>243</v>
      </c>
      <c r="B21" s="190">
        <v>0.01</v>
      </c>
      <c r="C21" s="109" t="s">
        <v>307</v>
      </c>
    </row>
    <row r="23" spans="1:9">
      <c r="A23" s="145" t="s">
        <v>188</v>
      </c>
      <c r="B23" s="146" t="s">
        <v>277</v>
      </c>
      <c r="C23" s="147"/>
    </row>
    <row r="24" spans="1:9" ht="13.5" customHeight="1">
      <c r="A24" s="108"/>
    </row>
    <row r="25" spans="1:9" ht="51">
      <c r="A25" s="45" t="s">
        <v>53</v>
      </c>
      <c r="B25" s="45" t="s">
        <v>86</v>
      </c>
      <c r="C25" s="45" t="s">
        <v>278</v>
      </c>
      <c r="F25" s="45" t="s">
        <v>328</v>
      </c>
      <c r="G25" s="45" t="s">
        <v>329</v>
      </c>
      <c r="H25" s="45" t="s">
        <v>337</v>
      </c>
      <c r="I25" s="45" t="s">
        <v>359</v>
      </c>
    </row>
    <row r="26" spans="1:9">
      <c r="A26" s="256" t="s">
        <v>80</v>
      </c>
      <c r="B26" s="257"/>
      <c r="C26" s="258"/>
    </row>
    <row r="27" spans="1:9" ht="38.25">
      <c r="A27" s="111" t="s">
        <v>280</v>
      </c>
      <c r="B27" s="118" t="s">
        <v>308</v>
      </c>
      <c r="C27" s="191">
        <v>435000</v>
      </c>
      <c r="F27" s="191">
        <f>3000000</f>
        <v>3000000</v>
      </c>
      <c r="G27" s="112">
        <f>F27*$H$11</f>
        <v>4767000</v>
      </c>
      <c r="H27" s="112">
        <f>G27*6%</f>
        <v>286020</v>
      </c>
    </row>
    <row r="28" spans="1:9">
      <c r="A28" s="256" t="s">
        <v>82</v>
      </c>
      <c r="B28" s="257"/>
      <c r="C28" s="258"/>
    </row>
    <row r="29" spans="1:9" ht="63.75">
      <c r="A29" s="111" t="s">
        <v>281</v>
      </c>
      <c r="B29" s="118" t="s">
        <v>283</v>
      </c>
      <c r="C29" s="191">
        <v>64000</v>
      </c>
      <c r="F29" s="191">
        <f>10000000</f>
        <v>10000000</v>
      </c>
      <c r="G29" s="112">
        <f t="shared" ref="G29:G30" si="0">F29*$H$11</f>
        <v>15890000</v>
      </c>
      <c r="H29" s="112">
        <f>G29*6%</f>
        <v>953400</v>
      </c>
      <c r="I29" s="191">
        <v>50</v>
      </c>
    </row>
    <row r="30" spans="1:9" ht="63.75">
      <c r="A30" s="111" t="s">
        <v>284</v>
      </c>
      <c r="B30" s="118" t="s">
        <v>283</v>
      </c>
      <c r="C30" s="191">
        <v>64000</v>
      </c>
      <c r="D30" s="191">
        <v>320000</v>
      </c>
      <c r="F30" s="191">
        <f>10000000</f>
        <v>10000000</v>
      </c>
      <c r="G30" s="112">
        <f t="shared" si="0"/>
        <v>15890000</v>
      </c>
      <c r="H30" s="112">
        <f>G30*6%</f>
        <v>953400</v>
      </c>
    </row>
    <row r="31" spans="1:9">
      <c r="A31" s="256" t="s">
        <v>78</v>
      </c>
      <c r="B31" s="257"/>
      <c r="C31" s="258"/>
    </row>
    <row r="32" spans="1:9" ht="76.5">
      <c r="A32" s="111" t="s">
        <v>285</v>
      </c>
      <c r="B32" s="118" t="s">
        <v>283</v>
      </c>
      <c r="C32" s="191">
        <v>36000</v>
      </c>
      <c r="F32" s="191">
        <f t="shared" ref="F32:F33" si="1">10000000</f>
        <v>10000000</v>
      </c>
      <c r="G32" s="112">
        <f t="shared" ref="G32:G33" si="2">F32*$H$11</f>
        <v>15890000</v>
      </c>
      <c r="H32" s="112">
        <f t="shared" ref="H32:H33" si="3">G32*6%</f>
        <v>953400</v>
      </c>
      <c r="I32" s="191">
        <v>50</v>
      </c>
    </row>
    <row r="33" spans="1:8" ht="51">
      <c r="A33" s="111" t="s">
        <v>286</v>
      </c>
      <c r="B33" s="118" t="s">
        <v>282</v>
      </c>
      <c r="C33" s="191">
        <v>1000000</v>
      </c>
      <c r="F33" s="191">
        <f t="shared" si="1"/>
        <v>10000000</v>
      </c>
      <c r="G33" s="112">
        <f t="shared" si="2"/>
        <v>15890000</v>
      </c>
      <c r="H33" s="112">
        <f t="shared" si="3"/>
        <v>953400</v>
      </c>
    </row>
  </sheetData>
  <sheetProtection password="C7B9" sheet="1" objects="1" scenarios="1"/>
  <sortState ref="A11:D13">
    <sortCondition ref="A11:A13"/>
  </sortState>
  <mergeCells count="8">
    <mergeCell ref="A31:C31"/>
    <mergeCell ref="B9:D9"/>
    <mergeCell ref="F9:G9"/>
    <mergeCell ref="H9:I9"/>
    <mergeCell ref="A26:C26"/>
    <mergeCell ref="A28:C28"/>
    <mergeCell ref="H11:H13"/>
    <mergeCell ref="I11:I13"/>
  </mergeCells>
  <hyperlinks>
    <hyperlink ref="I2" location="'Реестр листов'!A1" display="назад"/>
  </hyperlinks>
  <pageMargins left="0.70866141732283472" right="0.70866141732283472" top="0.74803149606299213" bottom="0.74803149606299213" header="0.31496062992125984" footer="0.31496062992125984"/>
  <pageSetup paperSize="9" scale="62" orientation="landscape" r:id="rId1"/>
  <headerFooter scaleWithDoc="0">
    <oddHeader>&amp;R&amp;A</oddHeader>
    <oddFooter>&amp;R&amp;P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B49"/>
  <sheetViews>
    <sheetView showGridLines="0" view="pageBreakPreview" zoomScaleNormal="100" zoomScaleSheetLayoutView="100" workbookViewId="0">
      <selection activeCell="B10" sqref="B10"/>
    </sheetView>
  </sheetViews>
  <sheetFormatPr defaultRowHeight="12.75"/>
  <cols>
    <col min="2" max="2" width="117.85546875" customWidth="1"/>
  </cols>
  <sheetData>
    <row r="1" spans="1:2" ht="23.25">
      <c r="A1" s="95" t="s">
        <v>213</v>
      </c>
    </row>
    <row r="2" spans="1:2">
      <c r="A2" s="150" t="s">
        <v>327</v>
      </c>
    </row>
    <row r="3" spans="1:2">
      <c r="B3" s="1" t="s">
        <v>0</v>
      </c>
    </row>
    <row r="5" spans="1:2" ht="15.75">
      <c r="A5" s="48" t="s">
        <v>7</v>
      </c>
      <c r="B5" s="48" t="s">
        <v>1</v>
      </c>
    </row>
    <row r="6" spans="1:2" ht="57">
      <c r="A6" s="49">
        <v>1</v>
      </c>
      <c r="B6" s="50" t="s">
        <v>8</v>
      </c>
    </row>
    <row r="7" spans="1:2" ht="42.75">
      <c r="A7" s="49">
        <v>2</v>
      </c>
      <c r="B7" s="50" t="s">
        <v>9</v>
      </c>
    </row>
    <row r="8" spans="1:2" ht="57">
      <c r="A8" s="49" t="s">
        <v>2</v>
      </c>
      <c r="B8" s="51" t="s">
        <v>10</v>
      </c>
    </row>
    <row r="9" spans="1:2" ht="28.5">
      <c r="A9" s="49" t="s">
        <v>3</v>
      </c>
      <c r="B9" s="51" t="s">
        <v>11</v>
      </c>
    </row>
    <row r="10" spans="1:2" ht="28.5">
      <c r="A10" s="49" t="s">
        <v>4</v>
      </c>
      <c r="B10" s="51" t="s">
        <v>12</v>
      </c>
    </row>
    <row r="11" spans="1:2" ht="14.25">
      <c r="A11" s="49">
        <v>3</v>
      </c>
      <c r="B11" s="50" t="s">
        <v>13</v>
      </c>
    </row>
    <row r="12" spans="1:2" ht="28.5">
      <c r="A12" s="49">
        <v>4</v>
      </c>
      <c r="B12" s="50" t="s">
        <v>14</v>
      </c>
    </row>
    <row r="13" spans="1:2" ht="14.25">
      <c r="A13" s="49">
        <v>5</v>
      </c>
      <c r="B13" s="50" t="s">
        <v>15</v>
      </c>
    </row>
    <row r="14" spans="1:2" ht="28.5">
      <c r="A14" s="49">
        <v>6</v>
      </c>
      <c r="B14" s="50" t="s">
        <v>16</v>
      </c>
    </row>
    <row r="15" spans="1:2" ht="99.75">
      <c r="A15" s="49">
        <v>7</v>
      </c>
      <c r="B15" s="50" t="s">
        <v>17</v>
      </c>
    </row>
    <row r="16" spans="1:2" ht="71.25">
      <c r="A16" s="49">
        <v>8</v>
      </c>
      <c r="B16" s="50" t="s">
        <v>18</v>
      </c>
    </row>
    <row r="17" spans="1:2" ht="57">
      <c r="A17" s="49">
        <v>9</v>
      </c>
      <c r="B17" s="50" t="s">
        <v>19</v>
      </c>
    </row>
    <row r="18" spans="1:2" ht="42.75">
      <c r="A18" s="49">
        <v>10</v>
      </c>
      <c r="B18" s="50" t="s">
        <v>20</v>
      </c>
    </row>
    <row r="19" spans="1:2" ht="57">
      <c r="A19" s="49">
        <v>11</v>
      </c>
      <c r="B19" s="50" t="s">
        <v>21</v>
      </c>
    </row>
    <row r="20" spans="1:2" ht="42.75">
      <c r="A20" s="49">
        <v>12</v>
      </c>
      <c r="B20" s="50" t="s">
        <v>22</v>
      </c>
    </row>
    <row r="21" spans="1:2" ht="156.75">
      <c r="A21" s="49">
        <v>13</v>
      </c>
      <c r="B21" s="50" t="s">
        <v>23</v>
      </c>
    </row>
    <row r="22" spans="1:2" ht="28.5">
      <c r="A22" s="49">
        <v>14</v>
      </c>
      <c r="B22" s="50" t="s">
        <v>24</v>
      </c>
    </row>
    <row r="23" spans="1:2" ht="14.25">
      <c r="A23" s="49">
        <v>15</v>
      </c>
      <c r="B23" s="50" t="s">
        <v>25</v>
      </c>
    </row>
    <row r="24" spans="1:2" ht="42.75">
      <c r="A24" s="49">
        <v>16</v>
      </c>
      <c r="B24" s="50" t="s">
        <v>26</v>
      </c>
    </row>
    <row r="25" spans="1:2" ht="14.25">
      <c r="A25" s="49">
        <v>17</v>
      </c>
      <c r="B25" s="50" t="s">
        <v>27</v>
      </c>
    </row>
    <row r="26" spans="1:2" ht="14.25">
      <c r="A26" s="49">
        <v>18</v>
      </c>
      <c r="B26" s="50" t="s">
        <v>28</v>
      </c>
    </row>
    <row r="27" spans="1:2" ht="42.75">
      <c r="A27" s="49">
        <v>19</v>
      </c>
      <c r="B27" s="50" t="s">
        <v>29</v>
      </c>
    </row>
    <row r="28" spans="1:2" ht="28.5">
      <c r="A28" s="49">
        <v>20</v>
      </c>
      <c r="B28" s="50" t="s">
        <v>30</v>
      </c>
    </row>
    <row r="29" spans="1:2" ht="14.25">
      <c r="A29" s="49">
        <v>21</v>
      </c>
      <c r="B29" s="50" t="s">
        <v>31</v>
      </c>
    </row>
    <row r="30" spans="1:2" ht="42.75">
      <c r="A30" s="49">
        <v>22</v>
      </c>
      <c r="B30" s="50" t="s">
        <v>32</v>
      </c>
    </row>
    <row r="31" spans="1:2" ht="42.75">
      <c r="A31" s="49">
        <v>23</v>
      </c>
      <c r="B31" s="50" t="s">
        <v>33</v>
      </c>
    </row>
    <row r="32" spans="1:2" ht="85.5">
      <c r="A32" s="49" t="s">
        <v>5</v>
      </c>
      <c r="B32" s="51" t="s">
        <v>34</v>
      </c>
    </row>
    <row r="33" spans="1:2" ht="28.5">
      <c r="A33" s="49">
        <v>24</v>
      </c>
      <c r="B33" s="50" t="s">
        <v>35</v>
      </c>
    </row>
    <row r="34" spans="1:2" ht="28.5">
      <c r="A34" s="49">
        <v>25</v>
      </c>
      <c r="B34" s="50" t="s">
        <v>36</v>
      </c>
    </row>
    <row r="35" spans="1:2" ht="42.75">
      <c r="A35" s="49">
        <v>26</v>
      </c>
      <c r="B35" s="50" t="s">
        <v>37</v>
      </c>
    </row>
    <row r="36" spans="1:2" ht="42.75">
      <c r="A36" s="49">
        <v>27</v>
      </c>
      <c r="B36" s="50" t="s">
        <v>38</v>
      </c>
    </row>
    <row r="37" spans="1:2" ht="14.25">
      <c r="A37" s="49">
        <v>28</v>
      </c>
      <c r="B37" s="50" t="s">
        <v>39</v>
      </c>
    </row>
    <row r="38" spans="1:2" ht="42.75">
      <c r="A38" s="49">
        <v>29</v>
      </c>
      <c r="B38" s="50" t="s">
        <v>40</v>
      </c>
    </row>
    <row r="39" spans="1:2" ht="42.75">
      <c r="A39" s="49">
        <v>30</v>
      </c>
      <c r="B39" s="50" t="s">
        <v>41</v>
      </c>
    </row>
    <row r="40" spans="1:2" ht="14.25">
      <c r="A40" s="49">
        <v>31</v>
      </c>
      <c r="B40" s="50" t="s">
        <v>42</v>
      </c>
    </row>
    <row r="41" spans="1:2" ht="42.75">
      <c r="A41" s="49">
        <v>32</v>
      </c>
      <c r="B41" s="50" t="s">
        <v>43</v>
      </c>
    </row>
    <row r="42" spans="1:2" ht="28.5">
      <c r="A42" s="49" t="s">
        <v>6</v>
      </c>
      <c r="B42" s="51" t="s">
        <v>44</v>
      </c>
    </row>
    <row r="43" spans="1:2" ht="42.75">
      <c r="A43" s="49">
        <v>33</v>
      </c>
      <c r="B43" s="50" t="s">
        <v>45</v>
      </c>
    </row>
    <row r="44" spans="1:2" ht="14.25">
      <c r="A44" s="49">
        <v>34</v>
      </c>
      <c r="B44" s="50" t="s">
        <v>46</v>
      </c>
    </row>
    <row r="45" spans="1:2" ht="14.25">
      <c r="A45" s="49">
        <v>35</v>
      </c>
      <c r="B45" s="50" t="s">
        <v>47</v>
      </c>
    </row>
    <row r="46" spans="1:2" ht="14.25">
      <c r="A46" s="49">
        <v>36</v>
      </c>
      <c r="B46" s="50" t="s">
        <v>48</v>
      </c>
    </row>
    <row r="47" spans="1:2" ht="42.75">
      <c r="A47" s="49">
        <v>37</v>
      </c>
      <c r="B47" s="50" t="s">
        <v>49</v>
      </c>
    </row>
    <row r="48" spans="1:2" ht="57">
      <c r="A48" s="49">
        <v>38</v>
      </c>
      <c r="B48" s="50" t="s">
        <v>50</v>
      </c>
    </row>
    <row r="49" spans="1:2" ht="57">
      <c r="A49" s="49">
        <v>39</v>
      </c>
      <c r="B49" s="50" t="s">
        <v>51</v>
      </c>
    </row>
  </sheetData>
  <sheetProtection password="C7B9" sheet="1" objects="1" scenarios="1"/>
  <hyperlinks>
    <hyperlink ref="B3" r:id="rId1"/>
    <hyperlink ref="A2" location="'Реестр листов'!A1" display="назад"/>
  </hyperlinks>
  <pageMargins left="0.43307086614173229" right="0.31496062992125984" top="0.59055118110236227" bottom="0.55118110236220474" header="0.31496062992125984" footer="0.31496062992125984"/>
  <pageSetup paperSize="9" scale="75" fitToHeight="2" orientation="portrait" r:id="rId2"/>
  <headerFooter scaleWithDoc="0">
    <oddHeader>&amp;LНалоговый калькулятор ЕНВД/УСНО/ОСНО/Патент&amp;R&amp;A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F16"/>
  <sheetViews>
    <sheetView showGridLines="0" view="pageBreakPreview" zoomScaleNormal="100" zoomScaleSheetLayoutView="100" workbookViewId="0">
      <selection activeCell="B9" sqref="B9"/>
    </sheetView>
  </sheetViews>
  <sheetFormatPr defaultRowHeight="12.75"/>
  <cols>
    <col min="1" max="1" width="6.140625" style="98" customWidth="1"/>
    <col min="2" max="2" width="35.42578125" style="98" customWidth="1"/>
    <col min="3" max="3" width="13.7109375" style="98" customWidth="1"/>
    <col min="4" max="4" width="13.5703125" style="98" customWidth="1"/>
    <col min="5" max="5" width="14.7109375" style="98" customWidth="1"/>
    <col min="6" max="6" width="42.28515625" style="98" customWidth="1"/>
    <col min="7" max="16384" width="9.140625" style="98"/>
  </cols>
  <sheetData>
    <row r="1" spans="1:6" ht="26.25">
      <c r="A1" s="97" t="s">
        <v>218</v>
      </c>
    </row>
    <row r="5" spans="1:6" ht="25.5">
      <c r="A5" s="102" t="s">
        <v>7</v>
      </c>
      <c r="B5" s="102" t="s">
        <v>219</v>
      </c>
      <c r="C5" s="103" t="s">
        <v>235</v>
      </c>
      <c r="D5" s="102" t="s">
        <v>223</v>
      </c>
      <c r="E5" s="103" t="s">
        <v>225</v>
      </c>
      <c r="F5" s="102" t="s">
        <v>224</v>
      </c>
    </row>
    <row r="6" spans="1:6" ht="44.25" customHeight="1">
      <c r="A6" s="99">
        <v>1</v>
      </c>
      <c r="B6" s="101" t="s">
        <v>319</v>
      </c>
      <c r="C6" s="107" t="s">
        <v>220</v>
      </c>
      <c r="D6" s="104" t="s">
        <v>234</v>
      </c>
      <c r="E6" s="104" t="s">
        <v>226</v>
      </c>
      <c r="F6" s="101" t="s">
        <v>317</v>
      </c>
    </row>
    <row r="7" spans="1:6" ht="44.25" customHeight="1">
      <c r="A7" s="99">
        <v>2</v>
      </c>
      <c r="B7" s="101" t="s">
        <v>320</v>
      </c>
      <c r="C7" s="107" t="s">
        <v>220</v>
      </c>
      <c r="D7" s="104" t="s">
        <v>234</v>
      </c>
      <c r="E7" s="104" t="s">
        <v>226</v>
      </c>
      <c r="F7" s="101" t="s">
        <v>321</v>
      </c>
    </row>
    <row r="8" spans="1:6" ht="44.25" customHeight="1">
      <c r="A8" s="99">
        <v>3</v>
      </c>
      <c r="B8" s="101" t="s">
        <v>221</v>
      </c>
      <c r="C8" s="107" t="s">
        <v>220</v>
      </c>
      <c r="D8" s="104" t="s">
        <v>228</v>
      </c>
      <c r="E8" s="104" t="s">
        <v>227</v>
      </c>
      <c r="F8" s="100" t="s">
        <v>231</v>
      </c>
    </row>
    <row r="9" spans="1:6" ht="44.25" customHeight="1">
      <c r="A9" s="99">
        <v>4</v>
      </c>
      <c r="B9" s="101" t="s">
        <v>180</v>
      </c>
      <c r="C9" s="107" t="s">
        <v>220</v>
      </c>
      <c r="D9" s="104" t="s">
        <v>228</v>
      </c>
      <c r="E9" s="104" t="s">
        <v>227</v>
      </c>
      <c r="F9" s="100" t="s">
        <v>229</v>
      </c>
    </row>
    <row r="10" spans="1:6" ht="44.25" customHeight="1">
      <c r="A10" s="99">
        <v>5</v>
      </c>
      <c r="B10" s="101" t="s">
        <v>181</v>
      </c>
      <c r="C10" s="107" t="s">
        <v>220</v>
      </c>
      <c r="D10" s="104" t="s">
        <v>228</v>
      </c>
      <c r="E10" s="104" t="s">
        <v>227</v>
      </c>
      <c r="F10" s="100" t="s">
        <v>230</v>
      </c>
    </row>
    <row r="11" spans="1:6" ht="44.25" customHeight="1">
      <c r="A11" s="99">
        <v>6</v>
      </c>
      <c r="B11" s="101" t="s">
        <v>187</v>
      </c>
      <c r="C11" s="107" t="s">
        <v>220</v>
      </c>
      <c r="D11" s="104" t="s">
        <v>228</v>
      </c>
      <c r="E11" s="104" t="s">
        <v>227</v>
      </c>
      <c r="F11" s="100" t="s">
        <v>231</v>
      </c>
    </row>
    <row r="12" spans="1:6" ht="44.25" customHeight="1">
      <c r="A12" s="99">
        <v>7</v>
      </c>
      <c r="B12" s="101" t="s">
        <v>316</v>
      </c>
      <c r="C12" s="107" t="s">
        <v>220</v>
      </c>
      <c r="D12" s="104" t="s">
        <v>228</v>
      </c>
      <c r="E12" s="104" t="s">
        <v>227</v>
      </c>
      <c r="F12" s="100" t="s">
        <v>260</v>
      </c>
    </row>
    <row r="13" spans="1:6" ht="44.25" customHeight="1">
      <c r="A13" s="99">
        <v>8</v>
      </c>
      <c r="B13" s="101" t="s">
        <v>258</v>
      </c>
      <c r="C13" s="107" t="s">
        <v>220</v>
      </c>
      <c r="D13" s="104" t="s">
        <v>234</v>
      </c>
      <c r="E13" s="104" t="s">
        <v>226</v>
      </c>
      <c r="F13" s="101" t="s">
        <v>259</v>
      </c>
    </row>
    <row r="14" spans="1:6" ht="44.25" customHeight="1">
      <c r="A14" s="99">
        <v>9</v>
      </c>
      <c r="B14" s="101" t="s">
        <v>326</v>
      </c>
      <c r="C14" s="107" t="s">
        <v>220</v>
      </c>
      <c r="D14" s="104" t="s">
        <v>232</v>
      </c>
      <c r="E14" s="104" t="s">
        <v>227</v>
      </c>
      <c r="F14" s="100" t="s">
        <v>233</v>
      </c>
    </row>
    <row r="15" spans="1:6" ht="44.25" customHeight="1">
      <c r="A15" s="99">
        <v>10</v>
      </c>
      <c r="B15" s="101" t="s">
        <v>222</v>
      </c>
      <c r="C15" s="107" t="s">
        <v>220</v>
      </c>
      <c r="D15" s="104" t="s">
        <v>232</v>
      </c>
      <c r="E15" s="104" t="s">
        <v>227</v>
      </c>
      <c r="F15" s="100" t="s">
        <v>233</v>
      </c>
    </row>
    <row r="16" spans="1:6">
      <c r="D16" s="105"/>
    </row>
  </sheetData>
  <sheetProtection password="C7B9" sheet="1" objects="1" scenarios="1"/>
  <hyperlinks>
    <hyperlink ref="C13" location="'ИП без сотрудников'!A1" display="ссылка"/>
    <hyperlink ref="C9" location="'УСНО (Доходы)'!A1" display="ссылка"/>
    <hyperlink ref="C10" location="'УСНО (Д-Р)'!A1" display="ссылка"/>
    <hyperlink ref="C11" location="ОСНО!A1" display="ссылка"/>
    <hyperlink ref="C6" location="'Вводная информация (1,2)'!A1" display="ссылка"/>
    <hyperlink ref="C15" location="Расходы_НК_ст346.16!A1" display="ссылка"/>
    <hyperlink ref="C8" location="СВОД!A1" display="ссылка"/>
    <hyperlink ref="C7" location="'Вводная информация (3) - ПАТЕНТ'!A1" display="ссылка"/>
    <hyperlink ref="C12" location="ПАТЕНТ!A1" display="ссылка"/>
    <hyperlink ref="C14" location="Библиотеки!A1" display="ссылка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  <headerFooter scaleWithDoc="0">
    <oddHeader>&amp;L&amp;A&amp;R&amp;A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95"/>
  <sheetViews>
    <sheetView showGridLines="0" zoomScale="80" zoomScaleNormal="80" zoomScaleSheetLayoutView="100" workbookViewId="0">
      <selection activeCell="D11" sqref="D11"/>
    </sheetView>
  </sheetViews>
  <sheetFormatPr defaultColWidth="9.140625" defaultRowHeight="17.25" outlineLevelRow="1" outlineLevelCol="1"/>
  <cols>
    <col min="1" max="1" width="7.5703125" style="4" customWidth="1"/>
    <col min="2" max="2" width="65.7109375" style="4" customWidth="1"/>
    <col min="3" max="3" width="0.7109375" style="4" customWidth="1"/>
    <col min="4" max="4" width="16.85546875" style="4" customWidth="1"/>
    <col min="5" max="5" width="0.7109375" style="4" customWidth="1"/>
    <col min="6" max="6" width="23.7109375" style="4" customWidth="1"/>
    <col min="7" max="7" width="0.7109375" style="4" customWidth="1"/>
    <col min="8" max="8" width="20.7109375" style="4" customWidth="1"/>
    <col min="9" max="9" width="0.5703125" style="4" customWidth="1"/>
    <col min="10" max="10" width="20.7109375" style="4" customWidth="1"/>
    <col min="11" max="11" width="0.5703125" style="4" customWidth="1"/>
    <col min="12" max="12" width="20.7109375" style="4" customWidth="1"/>
    <col min="13" max="13" width="0.7109375" style="4" customWidth="1"/>
    <col min="14" max="14" width="20.7109375" style="4" customWidth="1"/>
    <col min="15" max="15" width="3.140625" style="4" customWidth="1"/>
    <col min="16" max="16" width="25.85546875" style="4" hidden="1" customWidth="1" outlineLevel="1"/>
    <col min="17" max="17" width="15.140625" style="4" hidden="1" customWidth="1" outlineLevel="1"/>
    <col min="18" max="18" width="15.140625" style="4" customWidth="1" collapsed="1"/>
    <col min="19" max="16384" width="9.140625" style="4"/>
  </cols>
  <sheetData>
    <row r="1" spans="1:17" ht="26.25">
      <c r="A1" s="192" t="s">
        <v>175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4"/>
    </row>
    <row r="2" spans="1:17" ht="12.75" customHeight="1">
      <c r="A2" s="150" t="s">
        <v>327</v>
      </c>
      <c r="B2" s="64"/>
    </row>
    <row r="3" spans="1:17" ht="26.25">
      <c r="B3" s="64"/>
      <c r="F3" s="93"/>
      <c r="H3" s="91" t="s">
        <v>206</v>
      </c>
    </row>
    <row r="4" spans="1:17" ht="23.25">
      <c r="B4" s="3" t="s">
        <v>77</v>
      </c>
      <c r="C4" s="5"/>
      <c r="D4" s="6"/>
      <c r="E4" s="5"/>
      <c r="F4" s="6"/>
      <c r="G4" s="5"/>
      <c r="H4" s="6"/>
      <c r="I4" s="6"/>
      <c r="J4" s="6"/>
      <c r="K4" s="6"/>
      <c r="L4" s="6"/>
      <c r="M4" s="5"/>
      <c r="N4" s="6"/>
      <c r="O4" s="5"/>
      <c r="P4" s="46" t="s">
        <v>70</v>
      </c>
    </row>
    <row r="5" spans="1:17" ht="18" thickBot="1">
      <c r="P5" s="87" t="s">
        <v>71</v>
      </c>
    </row>
    <row r="6" spans="1:17" s="7" customFormat="1" ht="21.75" thickBot="1">
      <c r="B6" s="7" t="s">
        <v>52</v>
      </c>
      <c r="D6" s="207"/>
      <c r="E6" s="207"/>
      <c r="F6" s="207"/>
      <c r="J6" s="195" t="s">
        <v>170</v>
      </c>
      <c r="K6" s="196"/>
      <c r="L6" s="197"/>
      <c r="N6" s="59" t="str">
        <f>IF(AND(N15="Да",N16="Да",N17="Да",N18="Да",N19="Да",N20="Да"),"Да","Нет")</f>
        <v>Да</v>
      </c>
      <c r="P6" s="87" t="s">
        <v>72</v>
      </c>
    </row>
    <row r="7" spans="1:17" s="7" customFormat="1" ht="6.75" customHeight="1"/>
    <row r="8" spans="1:17" ht="21">
      <c r="B8" s="7" t="s">
        <v>76</v>
      </c>
      <c r="D8" s="207"/>
      <c r="E8" s="207"/>
      <c r="F8" s="207"/>
      <c r="H8" s="92" t="s">
        <v>207</v>
      </c>
    </row>
    <row r="9" spans="1:17" ht="7.5" customHeight="1" thickBo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21.75" thickBot="1">
      <c r="B10" s="7" t="s">
        <v>81</v>
      </c>
      <c r="D10" s="207"/>
      <c r="E10" s="207"/>
      <c r="F10" s="207"/>
      <c r="H10" s="92" t="s">
        <v>207</v>
      </c>
      <c r="J10" s="195" t="s">
        <v>196</v>
      </c>
      <c r="K10" s="196"/>
      <c r="L10" s="197"/>
      <c r="M10" s="7"/>
      <c r="N10" s="59" t="str">
        <f>IF(D8="ИП","Да","Нет")</f>
        <v>Нет</v>
      </c>
      <c r="P10" s="2"/>
    </row>
    <row r="11" spans="1:17" ht="23.25">
      <c r="D11" s="8"/>
      <c r="P11" s="46" t="s">
        <v>156</v>
      </c>
    </row>
    <row r="12" spans="1:17" ht="21">
      <c r="B12" s="9" t="s">
        <v>83</v>
      </c>
      <c r="P12" s="87" t="s">
        <v>73</v>
      </c>
    </row>
    <row r="13" spans="1:17" ht="21">
      <c r="B13" s="9"/>
      <c r="P13" s="87" t="s">
        <v>74</v>
      </c>
    </row>
    <row r="14" spans="1:17" ht="21">
      <c r="A14" s="10" t="s">
        <v>7</v>
      </c>
      <c r="B14" s="10" t="s">
        <v>53</v>
      </c>
      <c r="C14" s="7"/>
      <c r="D14" s="10" t="s">
        <v>86</v>
      </c>
      <c r="E14" s="7"/>
      <c r="F14" s="10" t="s">
        <v>54</v>
      </c>
      <c r="G14" s="7"/>
      <c r="H14" s="204" t="s">
        <v>151</v>
      </c>
      <c r="I14" s="205"/>
      <c r="J14" s="205"/>
      <c r="K14" s="205"/>
      <c r="L14" s="206"/>
      <c r="M14" s="7"/>
      <c r="N14" s="34" t="s">
        <v>157</v>
      </c>
      <c r="P14" s="2"/>
    </row>
    <row r="15" spans="1:17">
      <c r="A15" s="11">
        <v>1</v>
      </c>
      <c r="B15" s="12" t="s">
        <v>55</v>
      </c>
      <c r="D15" s="11" t="s">
        <v>75</v>
      </c>
      <c r="F15" s="22">
        <f>F33</f>
        <v>0</v>
      </c>
      <c r="H15" s="13" t="s">
        <v>65</v>
      </c>
      <c r="I15" s="13"/>
      <c r="J15" s="19" t="s">
        <v>66</v>
      </c>
      <c r="K15" s="19"/>
      <c r="L15" s="14">
        <v>200</v>
      </c>
      <c r="N15" s="21" t="str">
        <f>IF(F15/1000&gt;L15,"Нет","Да")</f>
        <v>Да</v>
      </c>
      <c r="P15" s="2"/>
    </row>
    <row r="16" spans="1:17">
      <c r="A16" s="11">
        <v>2</v>
      </c>
      <c r="B16" s="12" t="s">
        <v>57</v>
      </c>
      <c r="D16" s="11" t="s">
        <v>75</v>
      </c>
      <c r="F16" s="23"/>
      <c r="H16" s="13" t="s">
        <v>65</v>
      </c>
      <c r="I16" s="13"/>
      <c r="J16" s="19" t="s">
        <v>66</v>
      </c>
      <c r="K16" s="19"/>
      <c r="L16" s="14">
        <v>150</v>
      </c>
      <c r="N16" s="21" t="str">
        <f>IF(F16/1000&gt;L16,"Нет","Да")</f>
        <v>Да</v>
      </c>
      <c r="P16" s="45" t="s">
        <v>79</v>
      </c>
    </row>
    <row r="17" spans="1:16">
      <c r="A17" s="11">
        <v>3</v>
      </c>
      <c r="B17" s="12" t="s">
        <v>58</v>
      </c>
      <c r="D17" s="11" t="s">
        <v>59</v>
      </c>
      <c r="F17" s="23"/>
      <c r="H17" s="13" t="s">
        <v>65</v>
      </c>
      <c r="I17" s="13"/>
      <c r="J17" s="19" t="s">
        <v>67</v>
      </c>
      <c r="K17" s="19"/>
      <c r="L17" s="14">
        <v>100</v>
      </c>
      <c r="N17" s="21" t="str">
        <f>IF(F17&gt;L17,"Нет","Да")</f>
        <v>Да</v>
      </c>
      <c r="P17" s="94" t="s">
        <v>78</v>
      </c>
    </row>
    <row r="18" spans="1:16">
      <c r="A18" s="11">
        <v>4</v>
      </c>
      <c r="B18" s="12" t="s">
        <v>60</v>
      </c>
      <c r="D18" s="11" t="s">
        <v>61</v>
      </c>
      <c r="F18" s="24"/>
      <c r="H18" s="13" t="s">
        <v>65</v>
      </c>
      <c r="I18" s="13"/>
      <c r="J18" s="19" t="s">
        <v>68</v>
      </c>
      <c r="K18" s="19"/>
      <c r="L18" s="20">
        <v>0.25</v>
      </c>
      <c r="N18" s="21" t="str">
        <f>IF(F18&gt;L18,"Нет","Да")</f>
        <v>Да</v>
      </c>
      <c r="P18" s="87" t="s">
        <v>82</v>
      </c>
    </row>
    <row r="19" spans="1:16">
      <c r="A19" s="11">
        <v>5</v>
      </c>
      <c r="B19" s="12" t="s">
        <v>208</v>
      </c>
      <c r="D19" s="11" t="s">
        <v>62</v>
      </c>
      <c r="F19" s="25"/>
      <c r="H19" s="13" t="s">
        <v>69</v>
      </c>
      <c r="I19" s="13"/>
      <c r="J19" s="19"/>
      <c r="K19" s="19"/>
      <c r="L19" s="11"/>
      <c r="N19" s="21" t="str">
        <f>IF(F19="Да","Нет","Да")</f>
        <v>Да</v>
      </c>
      <c r="P19" s="87" t="s">
        <v>80</v>
      </c>
    </row>
    <row r="20" spans="1:16">
      <c r="A20" s="11">
        <v>6</v>
      </c>
      <c r="B20" s="12" t="s">
        <v>63</v>
      </c>
      <c r="D20" s="11" t="s">
        <v>64</v>
      </c>
      <c r="F20" s="44">
        <f>D10</f>
        <v>0</v>
      </c>
      <c r="H20" s="13" t="s">
        <v>64</v>
      </c>
      <c r="I20" s="13"/>
      <c r="J20" s="19"/>
      <c r="K20" s="19"/>
      <c r="L20" s="15"/>
      <c r="N20" s="21" t="s">
        <v>56</v>
      </c>
    </row>
    <row r="21" spans="1:16" ht="18.75">
      <c r="A21" s="11">
        <v>7</v>
      </c>
      <c r="B21" s="12" t="s">
        <v>241</v>
      </c>
      <c r="D21" s="11" t="s">
        <v>62</v>
      </c>
      <c r="F21" s="25"/>
      <c r="H21" s="113" t="str">
        <f>IF(AND(F21="НЕТ",F40&gt;0),"!!! ОШИБКА - в затратах присутствуют расходы на ФОТ персонала !!!","")</f>
        <v/>
      </c>
      <c r="I21" s="18"/>
      <c r="J21" s="57"/>
      <c r="K21" s="57"/>
      <c r="L21" s="58"/>
    </row>
    <row r="22" spans="1:16">
      <c r="A22" s="54"/>
      <c r="B22" s="55"/>
      <c r="D22" s="54"/>
      <c r="F22" s="56"/>
      <c r="H22" s="18"/>
      <c r="I22" s="18"/>
      <c r="J22" s="57"/>
      <c r="K22" s="57"/>
      <c r="L22" s="58"/>
    </row>
    <row r="23" spans="1:16" ht="42.75" customHeight="1">
      <c r="A23" s="10" t="s">
        <v>7</v>
      </c>
      <c r="B23" s="114" t="s">
        <v>273</v>
      </c>
      <c r="C23" s="7"/>
      <c r="D23" s="10" t="s">
        <v>270</v>
      </c>
      <c r="E23" s="7"/>
      <c r="F23" s="10" t="s">
        <v>54</v>
      </c>
      <c r="H23" s="229" t="s">
        <v>271</v>
      </c>
      <c r="I23" s="229"/>
      <c r="J23" s="229"/>
      <c r="K23" s="57"/>
    </row>
    <row r="24" spans="1:16" ht="69">
      <c r="A24" s="11">
        <v>1</v>
      </c>
      <c r="B24" s="12" t="s">
        <v>274</v>
      </c>
      <c r="D24" s="11" t="s">
        <v>62</v>
      </c>
      <c r="F24" s="25"/>
      <c r="H24" s="230">
        <f>IF(AND(D10=P17,F24=P5,F25=P5,F26=P5),8%,Библиотеки!G11)</f>
        <v>0.15</v>
      </c>
      <c r="I24" s="231"/>
      <c r="J24" s="232"/>
      <c r="K24" s="57"/>
      <c r="L24" s="58"/>
    </row>
    <row r="25" spans="1:16" ht="34.5">
      <c r="A25" s="11">
        <v>2</v>
      </c>
      <c r="B25" s="12" t="s">
        <v>275</v>
      </c>
      <c r="D25" s="11" t="s">
        <v>62</v>
      </c>
      <c r="F25" s="25"/>
      <c r="H25" s="18"/>
      <c r="I25" s="18"/>
      <c r="J25" s="57"/>
      <c r="K25" s="57"/>
      <c r="L25" s="58"/>
    </row>
    <row r="26" spans="1:16" ht="51.75">
      <c r="A26" s="11">
        <v>3</v>
      </c>
      <c r="B26" s="12" t="s">
        <v>276</v>
      </c>
      <c r="D26" s="11" t="s">
        <v>62</v>
      </c>
      <c r="F26" s="25"/>
      <c r="H26" s="18"/>
      <c r="I26" s="18"/>
      <c r="J26" s="57"/>
      <c r="K26" s="57"/>
      <c r="L26" s="58"/>
    </row>
    <row r="27" spans="1:16">
      <c r="A27" s="54"/>
      <c r="B27" s="55"/>
      <c r="D27" s="54"/>
      <c r="F27" s="56"/>
      <c r="H27" s="18"/>
      <c r="I27" s="18"/>
      <c r="J27" s="57"/>
      <c r="K27" s="57"/>
      <c r="L27" s="58"/>
    </row>
    <row r="28" spans="1:16" ht="26.25">
      <c r="A28" s="192" t="s">
        <v>176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4"/>
    </row>
    <row r="29" spans="1:16" ht="7.5" customHeight="1">
      <c r="A29" s="115"/>
      <c r="B29" s="115"/>
      <c r="C29" s="115"/>
      <c r="D29" s="115"/>
      <c r="E29" s="115"/>
      <c r="F29" s="116"/>
      <c r="G29" s="115"/>
      <c r="H29" s="115"/>
      <c r="I29" s="115"/>
      <c r="J29" s="115"/>
      <c r="K29" s="115"/>
      <c r="L29" s="115"/>
      <c r="M29" s="115"/>
      <c r="N29" s="115"/>
    </row>
    <row r="30" spans="1:16" ht="21">
      <c r="B30" s="9" t="s">
        <v>84</v>
      </c>
      <c r="F30" s="43"/>
      <c r="H30" s="42" t="s">
        <v>239</v>
      </c>
      <c r="I30" s="42"/>
    </row>
    <row r="31" spans="1:16">
      <c r="J31" s="226" t="s">
        <v>204</v>
      </c>
      <c r="K31" s="227"/>
      <c r="L31" s="227"/>
      <c r="M31" s="227"/>
      <c r="N31" s="228"/>
    </row>
    <row r="32" spans="1:16" ht="18.75">
      <c r="A32" s="34" t="s">
        <v>7</v>
      </c>
      <c r="B32" s="34" t="s">
        <v>53</v>
      </c>
      <c r="C32" s="16"/>
      <c r="D32" s="34" t="s">
        <v>86</v>
      </c>
      <c r="E32" s="16"/>
      <c r="F32" s="34" t="s">
        <v>143</v>
      </c>
      <c r="G32" s="16"/>
      <c r="H32" s="34" t="s">
        <v>140</v>
      </c>
      <c r="J32" s="142" t="s">
        <v>158</v>
      </c>
      <c r="K32" s="16"/>
      <c r="L32" s="143" t="s">
        <v>159</v>
      </c>
      <c r="M32" s="16"/>
      <c r="N32" s="144" t="s">
        <v>171</v>
      </c>
      <c r="P32" s="68" t="s">
        <v>216</v>
      </c>
    </row>
    <row r="33" spans="1:17">
      <c r="A33" s="31">
        <v>1</v>
      </c>
      <c r="B33" s="32" t="s">
        <v>85</v>
      </c>
      <c r="C33" s="17"/>
      <c r="D33" s="31" t="s">
        <v>75</v>
      </c>
      <c r="E33" s="17"/>
      <c r="F33" s="33">
        <f>SUM(F34:F35)</f>
        <v>0</v>
      </c>
      <c r="H33" s="35">
        <f>IFERROR(F33/$F$33,0)</f>
        <v>0</v>
      </c>
      <c r="J33" s="35"/>
      <c r="L33" s="35"/>
      <c r="N33" s="35"/>
      <c r="P33" s="33">
        <f>SUM(P34:P35)</f>
        <v>0</v>
      </c>
      <c r="Q33" s="139">
        <f>F33-P33</f>
        <v>0</v>
      </c>
    </row>
    <row r="34" spans="1:17">
      <c r="A34" s="11" t="s">
        <v>130</v>
      </c>
      <c r="B34" s="26" t="s">
        <v>132</v>
      </c>
      <c r="D34" s="11" t="s">
        <v>75</v>
      </c>
      <c r="F34" s="28"/>
      <c r="H34" s="36">
        <f t="shared" ref="H34:H35" si="0">IFERROR(F34/$F$33,0)</f>
        <v>0</v>
      </c>
      <c r="J34" s="60">
        <v>1</v>
      </c>
      <c r="L34" s="63">
        <v>1</v>
      </c>
      <c r="N34" s="60">
        <v>0.2</v>
      </c>
      <c r="P34" s="30">
        <f>F34*J34</f>
        <v>0</v>
      </c>
      <c r="Q34" s="139">
        <f t="shared" ref="Q34:Q67" si="1">F34-P34</f>
        <v>0</v>
      </c>
    </row>
    <row r="35" spans="1:17" ht="34.5">
      <c r="A35" s="11" t="s">
        <v>131</v>
      </c>
      <c r="B35" s="26" t="s">
        <v>133</v>
      </c>
      <c r="D35" s="11" t="s">
        <v>75</v>
      </c>
      <c r="F35" s="28"/>
      <c r="H35" s="36">
        <f t="shared" si="0"/>
        <v>0</v>
      </c>
      <c r="I35" s="53"/>
      <c r="J35" s="60">
        <v>1</v>
      </c>
      <c r="L35" s="63">
        <v>1</v>
      </c>
      <c r="P35" s="30">
        <f>F35*J35</f>
        <v>0</v>
      </c>
      <c r="Q35" s="139">
        <f t="shared" si="1"/>
        <v>0</v>
      </c>
    </row>
    <row r="36" spans="1:17">
      <c r="A36" s="31">
        <v>2</v>
      </c>
      <c r="B36" s="32" t="s">
        <v>87</v>
      </c>
      <c r="C36" s="17"/>
      <c r="D36" s="31" t="s">
        <v>75</v>
      </c>
      <c r="E36" s="17"/>
      <c r="F36" s="33">
        <f>SUM(F37:F66)</f>
        <v>0</v>
      </c>
      <c r="H36" s="35">
        <f>IFERROR(F36/$F$36,0)</f>
        <v>0</v>
      </c>
      <c r="I36" s="52"/>
      <c r="J36" s="35"/>
      <c r="L36" s="35"/>
      <c r="P36" s="33">
        <f>SUM(P37:P66)</f>
        <v>0</v>
      </c>
      <c r="Q36" s="139">
        <f t="shared" si="1"/>
        <v>0</v>
      </c>
    </row>
    <row r="37" spans="1:17" ht="34.5">
      <c r="A37" s="11" t="s">
        <v>2</v>
      </c>
      <c r="B37" s="26" t="s">
        <v>238</v>
      </c>
      <c r="D37" s="11" t="s">
        <v>75</v>
      </c>
      <c r="F37" s="29">
        <f>IF(D10=Библиотеки!A13,0,F33/(1+F30))</f>
        <v>0</v>
      </c>
      <c r="H37" s="36">
        <f t="shared" ref="H37:H66" si="2">IFERROR(F37/$F$36,0)</f>
        <v>0</v>
      </c>
      <c r="I37" s="53"/>
      <c r="J37" s="60">
        <v>1</v>
      </c>
      <c r="L37" s="60">
        <v>0.5</v>
      </c>
      <c r="P37" s="30">
        <f t="shared" ref="P37:P66" si="3">F37*J37</f>
        <v>0</v>
      </c>
      <c r="Q37" s="139">
        <f t="shared" si="1"/>
        <v>0</v>
      </c>
    </row>
    <row r="38" spans="1:17">
      <c r="A38" s="11" t="s">
        <v>3</v>
      </c>
      <c r="B38" s="26" t="s">
        <v>237</v>
      </c>
      <c r="D38" s="11" t="s">
        <v>75</v>
      </c>
      <c r="F38" s="28"/>
      <c r="H38" s="36">
        <f t="shared" si="2"/>
        <v>0</v>
      </c>
      <c r="I38" s="53"/>
      <c r="J38" s="60">
        <v>1</v>
      </c>
      <c r="L38" s="60">
        <v>0.5</v>
      </c>
      <c r="P38" s="30">
        <f t="shared" si="3"/>
        <v>0</v>
      </c>
      <c r="Q38" s="139">
        <f t="shared" si="1"/>
        <v>0</v>
      </c>
    </row>
    <row r="39" spans="1:17">
      <c r="A39" s="11" t="s">
        <v>4</v>
      </c>
      <c r="B39" s="26" t="s">
        <v>152</v>
      </c>
      <c r="D39" s="11" t="s">
        <v>75</v>
      </c>
      <c r="F39" s="28"/>
      <c r="H39" s="36">
        <f t="shared" si="2"/>
        <v>0</v>
      </c>
      <c r="I39" s="53"/>
      <c r="J39" s="60">
        <v>1</v>
      </c>
      <c r="L39" s="60">
        <v>0.5</v>
      </c>
      <c r="P39" s="30">
        <f t="shared" si="3"/>
        <v>0</v>
      </c>
      <c r="Q39" s="139">
        <f t="shared" si="1"/>
        <v>0</v>
      </c>
    </row>
    <row r="40" spans="1:17">
      <c r="A40" s="11" t="s">
        <v>88</v>
      </c>
      <c r="B40" s="26" t="s">
        <v>179</v>
      </c>
      <c r="D40" s="11" t="s">
        <v>75</v>
      </c>
      <c r="F40" s="28"/>
      <c r="H40" s="36">
        <f t="shared" si="2"/>
        <v>0</v>
      </c>
      <c r="I40" s="53"/>
      <c r="J40" s="60">
        <v>1</v>
      </c>
      <c r="L40" s="63">
        <v>0</v>
      </c>
      <c r="P40" s="30">
        <f t="shared" si="3"/>
        <v>0</v>
      </c>
      <c r="Q40" s="139">
        <f t="shared" si="1"/>
        <v>0</v>
      </c>
    </row>
    <row r="41" spans="1:17">
      <c r="A41" s="11" t="s">
        <v>89</v>
      </c>
      <c r="B41" s="26" t="s">
        <v>96</v>
      </c>
      <c r="D41" s="11" t="s">
        <v>75</v>
      </c>
      <c r="F41" s="28"/>
      <c r="H41" s="36">
        <f t="shared" si="2"/>
        <v>0</v>
      </c>
      <c r="I41" s="53"/>
      <c r="J41" s="63">
        <v>1</v>
      </c>
      <c r="L41" s="63">
        <v>0</v>
      </c>
      <c r="P41" s="30">
        <f t="shared" si="3"/>
        <v>0</v>
      </c>
      <c r="Q41" s="139">
        <f t="shared" si="1"/>
        <v>0</v>
      </c>
    </row>
    <row r="42" spans="1:17">
      <c r="A42" s="11" t="s">
        <v>90</v>
      </c>
      <c r="B42" s="26" t="s">
        <v>97</v>
      </c>
      <c r="D42" s="11" t="s">
        <v>75</v>
      </c>
      <c r="F42" s="28"/>
      <c r="H42" s="36">
        <f t="shared" si="2"/>
        <v>0</v>
      </c>
      <c r="I42" s="53"/>
      <c r="J42" s="60">
        <v>1</v>
      </c>
      <c r="L42" s="63">
        <v>0</v>
      </c>
      <c r="P42" s="30">
        <f t="shared" si="3"/>
        <v>0</v>
      </c>
      <c r="Q42" s="139">
        <f t="shared" si="1"/>
        <v>0</v>
      </c>
    </row>
    <row r="43" spans="1:17">
      <c r="A43" s="11" t="s">
        <v>91</v>
      </c>
      <c r="B43" s="26" t="s">
        <v>100</v>
      </c>
      <c r="D43" s="11" t="s">
        <v>75</v>
      </c>
      <c r="F43" s="28"/>
      <c r="H43" s="36">
        <f t="shared" si="2"/>
        <v>0</v>
      </c>
      <c r="I43" s="53"/>
      <c r="J43" s="60">
        <v>1</v>
      </c>
      <c r="L43" s="60">
        <v>0.5</v>
      </c>
      <c r="P43" s="30">
        <f t="shared" si="3"/>
        <v>0</v>
      </c>
      <c r="Q43" s="139">
        <f t="shared" si="1"/>
        <v>0</v>
      </c>
    </row>
    <row r="44" spans="1:17">
      <c r="A44" s="11" t="s">
        <v>92</v>
      </c>
      <c r="B44" s="26" t="s">
        <v>101</v>
      </c>
      <c r="D44" s="11" t="s">
        <v>75</v>
      </c>
      <c r="F44" s="28"/>
      <c r="H44" s="36">
        <f t="shared" si="2"/>
        <v>0</v>
      </c>
      <c r="I44" s="53"/>
      <c r="J44" s="60">
        <v>1</v>
      </c>
      <c r="L44" s="60">
        <v>0.5</v>
      </c>
      <c r="P44" s="30">
        <f t="shared" si="3"/>
        <v>0</v>
      </c>
      <c r="Q44" s="139">
        <f t="shared" si="1"/>
        <v>0</v>
      </c>
    </row>
    <row r="45" spans="1:17">
      <c r="A45" s="11" t="s">
        <v>93</v>
      </c>
      <c r="B45" s="26" t="s">
        <v>102</v>
      </c>
      <c r="D45" s="11" t="s">
        <v>75</v>
      </c>
      <c r="F45" s="28"/>
      <c r="H45" s="36">
        <f t="shared" si="2"/>
        <v>0</v>
      </c>
      <c r="I45" s="53"/>
      <c r="J45" s="60">
        <v>1</v>
      </c>
      <c r="L45" s="60">
        <v>0.5</v>
      </c>
      <c r="P45" s="30">
        <f t="shared" si="3"/>
        <v>0</v>
      </c>
      <c r="Q45" s="139">
        <f t="shared" si="1"/>
        <v>0</v>
      </c>
    </row>
    <row r="46" spans="1:17">
      <c r="A46" s="11" t="s">
        <v>94</v>
      </c>
      <c r="B46" s="26" t="s">
        <v>103</v>
      </c>
      <c r="D46" s="11" t="s">
        <v>75</v>
      </c>
      <c r="F46" s="28"/>
      <c r="H46" s="36">
        <f t="shared" si="2"/>
        <v>0</v>
      </c>
      <c r="I46" s="53"/>
      <c r="J46" s="60">
        <v>1</v>
      </c>
      <c r="L46" s="60">
        <v>0.5</v>
      </c>
      <c r="P46" s="30">
        <f t="shared" si="3"/>
        <v>0</v>
      </c>
      <c r="Q46" s="139">
        <f t="shared" si="1"/>
        <v>0</v>
      </c>
    </row>
    <row r="47" spans="1:17">
      <c r="A47" s="27" t="s">
        <v>95</v>
      </c>
      <c r="B47" s="26" t="s">
        <v>106</v>
      </c>
      <c r="D47" s="11" t="s">
        <v>75</v>
      </c>
      <c r="F47" s="28"/>
      <c r="H47" s="36">
        <f t="shared" si="2"/>
        <v>0</v>
      </c>
      <c r="I47" s="53"/>
      <c r="J47" s="60">
        <v>1</v>
      </c>
      <c r="L47" s="60">
        <v>0.5</v>
      </c>
      <c r="P47" s="30">
        <f t="shared" si="3"/>
        <v>0</v>
      </c>
      <c r="Q47" s="139">
        <f t="shared" si="1"/>
        <v>0</v>
      </c>
    </row>
    <row r="48" spans="1:17">
      <c r="A48" s="27" t="s">
        <v>111</v>
      </c>
      <c r="B48" s="26" t="s">
        <v>98</v>
      </c>
      <c r="D48" s="11" t="s">
        <v>75</v>
      </c>
      <c r="F48" s="28"/>
      <c r="H48" s="36">
        <f t="shared" si="2"/>
        <v>0</v>
      </c>
      <c r="I48" s="53"/>
      <c r="J48" s="60">
        <v>1</v>
      </c>
      <c r="L48" s="60">
        <v>0.5</v>
      </c>
      <c r="P48" s="30">
        <f t="shared" si="3"/>
        <v>0</v>
      </c>
      <c r="Q48" s="139">
        <f t="shared" si="1"/>
        <v>0</v>
      </c>
    </row>
    <row r="49" spans="1:17">
      <c r="A49" s="27" t="s">
        <v>112</v>
      </c>
      <c r="B49" s="26" t="s">
        <v>99</v>
      </c>
      <c r="D49" s="11" t="s">
        <v>75</v>
      </c>
      <c r="F49" s="28"/>
      <c r="H49" s="36">
        <f t="shared" si="2"/>
        <v>0</v>
      </c>
      <c r="I49" s="53"/>
      <c r="J49" s="60">
        <v>1</v>
      </c>
      <c r="L49" s="60">
        <v>0.5</v>
      </c>
      <c r="P49" s="30">
        <f t="shared" si="3"/>
        <v>0</v>
      </c>
      <c r="Q49" s="139">
        <f t="shared" si="1"/>
        <v>0</v>
      </c>
    </row>
    <row r="50" spans="1:17">
      <c r="A50" s="27" t="s">
        <v>113</v>
      </c>
      <c r="B50" s="26" t="s">
        <v>123</v>
      </c>
      <c r="D50" s="11" t="s">
        <v>75</v>
      </c>
      <c r="F50" s="28"/>
      <c r="H50" s="36">
        <f t="shared" si="2"/>
        <v>0</v>
      </c>
      <c r="I50" s="53"/>
      <c r="J50" s="60">
        <v>1</v>
      </c>
      <c r="L50" s="60">
        <v>0.5</v>
      </c>
      <c r="P50" s="30">
        <f t="shared" si="3"/>
        <v>0</v>
      </c>
      <c r="Q50" s="139">
        <f t="shared" si="1"/>
        <v>0</v>
      </c>
    </row>
    <row r="51" spans="1:17">
      <c r="A51" s="27" t="s">
        <v>114</v>
      </c>
      <c r="B51" s="26" t="s">
        <v>104</v>
      </c>
      <c r="D51" s="11" t="s">
        <v>75</v>
      </c>
      <c r="F51" s="28"/>
      <c r="H51" s="36">
        <f t="shared" si="2"/>
        <v>0</v>
      </c>
      <c r="I51" s="53"/>
      <c r="J51" s="60">
        <v>1</v>
      </c>
      <c r="L51" s="60">
        <v>0.5</v>
      </c>
      <c r="P51" s="30">
        <f t="shared" si="3"/>
        <v>0</v>
      </c>
      <c r="Q51" s="139">
        <f t="shared" si="1"/>
        <v>0</v>
      </c>
    </row>
    <row r="52" spans="1:17">
      <c r="A52" s="27" t="s">
        <v>115</v>
      </c>
      <c r="B52" s="26" t="s">
        <v>105</v>
      </c>
      <c r="D52" s="11" t="s">
        <v>75</v>
      </c>
      <c r="F52" s="28"/>
      <c r="H52" s="36">
        <f t="shared" si="2"/>
        <v>0</v>
      </c>
      <c r="I52" s="53"/>
      <c r="J52" s="60">
        <v>1</v>
      </c>
      <c r="L52" s="60">
        <v>0.5</v>
      </c>
      <c r="P52" s="30">
        <f t="shared" si="3"/>
        <v>0</v>
      </c>
      <c r="Q52" s="139">
        <f t="shared" si="1"/>
        <v>0</v>
      </c>
    </row>
    <row r="53" spans="1:17">
      <c r="A53" s="27" t="s">
        <v>116</v>
      </c>
      <c r="B53" s="26" t="s">
        <v>154</v>
      </c>
      <c r="D53" s="11" t="s">
        <v>75</v>
      </c>
      <c r="F53" s="28"/>
      <c r="H53" s="36">
        <f t="shared" si="2"/>
        <v>0</v>
      </c>
      <c r="I53" s="53"/>
      <c r="J53" s="60">
        <v>1</v>
      </c>
      <c r="L53" s="60">
        <v>0.5</v>
      </c>
      <c r="P53" s="30">
        <f t="shared" si="3"/>
        <v>0</v>
      </c>
      <c r="Q53" s="139">
        <f t="shared" si="1"/>
        <v>0</v>
      </c>
    </row>
    <row r="54" spans="1:17">
      <c r="A54" s="27" t="s">
        <v>120</v>
      </c>
      <c r="B54" s="26" t="s">
        <v>107</v>
      </c>
      <c r="D54" s="11" t="s">
        <v>75</v>
      </c>
      <c r="F54" s="28"/>
      <c r="H54" s="36">
        <f t="shared" si="2"/>
        <v>0</v>
      </c>
      <c r="I54" s="53"/>
      <c r="J54" s="60">
        <v>1</v>
      </c>
      <c r="L54" s="60">
        <v>0.5</v>
      </c>
      <c r="P54" s="30">
        <f t="shared" si="3"/>
        <v>0</v>
      </c>
      <c r="Q54" s="139">
        <f t="shared" si="1"/>
        <v>0</v>
      </c>
    </row>
    <row r="55" spans="1:17">
      <c r="A55" s="27" t="s">
        <v>121</v>
      </c>
      <c r="B55" s="26" t="s">
        <v>108</v>
      </c>
      <c r="D55" s="11" t="s">
        <v>75</v>
      </c>
      <c r="F55" s="28"/>
      <c r="H55" s="36">
        <f t="shared" si="2"/>
        <v>0</v>
      </c>
      <c r="I55" s="53"/>
      <c r="J55" s="60">
        <v>1</v>
      </c>
      <c r="L55" s="60">
        <v>0.5</v>
      </c>
      <c r="P55" s="30">
        <f t="shared" si="3"/>
        <v>0</v>
      </c>
      <c r="Q55" s="139">
        <f t="shared" si="1"/>
        <v>0</v>
      </c>
    </row>
    <row r="56" spans="1:17">
      <c r="A56" s="11" t="s">
        <v>122</v>
      </c>
      <c r="B56" s="26" t="s">
        <v>109</v>
      </c>
      <c r="D56" s="11" t="s">
        <v>75</v>
      </c>
      <c r="F56" s="28"/>
      <c r="H56" s="36">
        <f t="shared" si="2"/>
        <v>0</v>
      </c>
      <c r="I56" s="53"/>
      <c r="J56" s="60">
        <v>1</v>
      </c>
      <c r="L56" s="60">
        <v>0.5</v>
      </c>
      <c r="P56" s="30">
        <f t="shared" si="3"/>
        <v>0</v>
      </c>
      <c r="Q56" s="139">
        <f t="shared" si="1"/>
        <v>0</v>
      </c>
    </row>
    <row r="57" spans="1:17">
      <c r="A57" s="27" t="s">
        <v>124</v>
      </c>
      <c r="B57" s="26" t="s">
        <v>117</v>
      </c>
      <c r="D57" s="11" t="s">
        <v>75</v>
      </c>
      <c r="F57" s="28"/>
      <c r="H57" s="36">
        <f t="shared" si="2"/>
        <v>0</v>
      </c>
      <c r="I57" s="53"/>
      <c r="J57" s="60">
        <v>1</v>
      </c>
      <c r="L57" s="60">
        <v>0.5</v>
      </c>
      <c r="P57" s="30">
        <f t="shared" si="3"/>
        <v>0</v>
      </c>
      <c r="Q57" s="139">
        <f t="shared" si="1"/>
        <v>0</v>
      </c>
    </row>
    <row r="58" spans="1:17">
      <c r="A58" s="27" t="s">
        <v>125</v>
      </c>
      <c r="B58" s="26" t="s">
        <v>118</v>
      </c>
      <c r="D58" s="11" t="s">
        <v>75</v>
      </c>
      <c r="F58" s="28"/>
      <c r="H58" s="36">
        <f t="shared" si="2"/>
        <v>0</v>
      </c>
      <c r="I58" s="53"/>
      <c r="J58" s="60">
        <v>1</v>
      </c>
      <c r="L58" s="60">
        <v>0.5</v>
      </c>
      <c r="P58" s="30">
        <f t="shared" si="3"/>
        <v>0</v>
      </c>
      <c r="Q58" s="139">
        <f t="shared" si="1"/>
        <v>0</v>
      </c>
    </row>
    <row r="59" spans="1:17">
      <c r="A59" s="27" t="s">
        <v>134</v>
      </c>
      <c r="B59" s="26" t="s">
        <v>119</v>
      </c>
      <c r="D59" s="11" t="s">
        <v>75</v>
      </c>
      <c r="F59" s="28"/>
      <c r="H59" s="36">
        <f t="shared" si="2"/>
        <v>0</v>
      </c>
      <c r="I59" s="53"/>
      <c r="J59" s="60">
        <v>1</v>
      </c>
      <c r="L59" s="60">
        <v>0.5</v>
      </c>
      <c r="P59" s="30">
        <f t="shared" si="3"/>
        <v>0</v>
      </c>
      <c r="Q59" s="139">
        <f t="shared" si="1"/>
        <v>0</v>
      </c>
    </row>
    <row r="60" spans="1:17">
      <c r="A60" s="27" t="s">
        <v>135</v>
      </c>
      <c r="B60" s="26" t="s">
        <v>126</v>
      </c>
      <c r="D60" s="11" t="s">
        <v>75</v>
      </c>
      <c r="F60" s="28"/>
      <c r="H60" s="36">
        <f t="shared" si="2"/>
        <v>0</v>
      </c>
      <c r="I60" s="53"/>
      <c r="J60" s="60">
        <v>1</v>
      </c>
      <c r="L60" s="63">
        <v>0</v>
      </c>
      <c r="P60" s="30">
        <f t="shared" si="3"/>
        <v>0</v>
      </c>
      <c r="Q60" s="139">
        <f t="shared" si="1"/>
        <v>0</v>
      </c>
    </row>
    <row r="61" spans="1:17">
      <c r="A61" s="27" t="s">
        <v>136</v>
      </c>
      <c r="B61" s="26" t="s">
        <v>127</v>
      </c>
      <c r="D61" s="11" t="s">
        <v>75</v>
      </c>
      <c r="F61" s="28"/>
      <c r="H61" s="36">
        <f t="shared" si="2"/>
        <v>0</v>
      </c>
      <c r="I61" s="53"/>
      <c r="J61" s="63">
        <v>1</v>
      </c>
      <c r="L61" s="63">
        <v>0</v>
      </c>
      <c r="P61" s="30">
        <f t="shared" si="3"/>
        <v>0</v>
      </c>
      <c r="Q61" s="139">
        <f t="shared" si="1"/>
        <v>0</v>
      </c>
    </row>
    <row r="62" spans="1:17">
      <c r="A62" s="27" t="s">
        <v>137</v>
      </c>
      <c r="B62" s="26" t="s">
        <v>190</v>
      </c>
      <c r="D62" s="11" t="s">
        <v>75</v>
      </c>
      <c r="F62" s="28"/>
      <c r="H62" s="36">
        <f t="shared" si="2"/>
        <v>0</v>
      </c>
      <c r="I62" s="53"/>
      <c r="J62" s="63">
        <v>1</v>
      </c>
      <c r="L62" s="63">
        <v>0</v>
      </c>
      <c r="P62" s="30">
        <f t="shared" si="3"/>
        <v>0</v>
      </c>
      <c r="Q62" s="139">
        <f t="shared" si="1"/>
        <v>0</v>
      </c>
    </row>
    <row r="63" spans="1:17">
      <c r="A63" s="27" t="s">
        <v>138</v>
      </c>
      <c r="B63" s="26" t="s">
        <v>128</v>
      </c>
      <c r="D63" s="11" t="s">
        <v>75</v>
      </c>
      <c r="F63" s="28"/>
      <c r="H63" s="36">
        <f t="shared" si="2"/>
        <v>0</v>
      </c>
      <c r="I63" s="53"/>
      <c r="J63" s="63">
        <v>1</v>
      </c>
      <c r="L63" s="63">
        <v>0</v>
      </c>
      <c r="P63" s="30">
        <f t="shared" si="3"/>
        <v>0</v>
      </c>
      <c r="Q63" s="139">
        <f t="shared" si="1"/>
        <v>0</v>
      </c>
    </row>
    <row r="64" spans="1:17">
      <c r="A64" s="11" t="s">
        <v>150</v>
      </c>
      <c r="B64" s="26" t="s">
        <v>129</v>
      </c>
      <c r="D64" s="11" t="s">
        <v>75</v>
      </c>
      <c r="F64" s="28"/>
      <c r="H64" s="36">
        <f t="shared" si="2"/>
        <v>0</v>
      </c>
      <c r="I64" s="53"/>
      <c r="J64" s="63">
        <v>1</v>
      </c>
      <c r="L64" s="63">
        <v>0</v>
      </c>
      <c r="P64" s="30">
        <f t="shared" si="3"/>
        <v>0</v>
      </c>
      <c r="Q64" s="139">
        <f t="shared" si="1"/>
        <v>0</v>
      </c>
    </row>
    <row r="65" spans="1:17">
      <c r="A65" s="11" t="s">
        <v>153</v>
      </c>
      <c r="B65" s="26" t="s">
        <v>149</v>
      </c>
      <c r="D65" s="11" t="s">
        <v>75</v>
      </c>
      <c r="F65" s="28"/>
      <c r="H65" s="36">
        <f t="shared" si="2"/>
        <v>0</v>
      </c>
      <c r="I65" s="53"/>
      <c r="J65" s="63">
        <v>1</v>
      </c>
      <c r="L65" s="63">
        <v>0</v>
      </c>
      <c r="P65" s="30">
        <f t="shared" si="3"/>
        <v>0</v>
      </c>
      <c r="Q65" s="139">
        <f t="shared" si="1"/>
        <v>0</v>
      </c>
    </row>
    <row r="66" spans="1:17">
      <c r="A66" s="11" t="s">
        <v>155</v>
      </c>
      <c r="B66" s="26" t="s">
        <v>110</v>
      </c>
      <c r="D66" s="11" t="s">
        <v>75</v>
      </c>
      <c r="F66" s="28"/>
      <c r="H66" s="36">
        <f t="shared" si="2"/>
        <v>0</v>
      </c>
      <c r="I66" s="53"/>
      <c r="J66" s="60">
        <v>1</v>
      </c>
      <c r="L66" s="60">
        <v>0.5</v>
      </c>
      <c r="P66" s="30">
        <f t="shared" si="3"/>
        <v>0</v>
      </c>
      <c r="Q66" s="139">
        <f t="shared" si="1"/>
        <v>0</v>
      </c>
    </row>
    <row r="67" spans="1:17">
      <c r="A67" s="31">
        <v>3</v>
      </c>
      <c r="B67" s="32" t="s">
        <v>139</v>
      </c>
      <c r="C67" s="17"/>
      <c r="D67" s="31" t="s">
        <v>75</v>
      </c>
      <c r="E67" s="17"/>
      <c r="F67" s="33">
        <f>F33-F36</f>
        <v>0</v>
      </c>
      <c r="P67" s="33">
        <f>P33-P36</f>
        <v>0</v>
      </c>
      <c r="Q67" s="139">
        <f t="shared" si="1"/>
        <v>0</v>
      </c>
    </row>
    <row r="69" spans="1:17" ht="21">
      <c r="B69" s="9" t="s">
        <v>148</v>
      </c>
    </row>
    <row r="71" spans="1:17" ht="37.5">
      <c r="A71" s="37" t="s">
        <v>7</v>
      </c>
      <c r="B71" s="37" t="s">
        <v>53</v>
      </c>
      <c r="C71" s="38"/>
      <c r="D71" s="37" t="s">
        <v>86</v>
      </c>
      <c r="E71" s="38"/>
      <c r="F71" s="37" t="s">
        <v>194</v>
      </c>
      <c r="G71" s="39"/>
    </row>
    <row r="72" spans="1:17">
      <c r="A72" s="11">
        <v>1</v>
      </c>
      <c r="B72" s="81" t="s">
        <v>141</v>
      </c>
      <c r="D72" s="11" t="s">
        <v>61</v>
      </c>
      <c r="F72" s="82">
        <f>IFERROR(P67/P33,0)</f>
        <v>0</v>
      </c>
    </row>
    <row r="73" spans="1:17">
      <c r="A73" s="11">
        <v>2</v>
      </c>
      <c r="B73" s="81" t="s">
        <v>142</v>
      </c>
      <c r="D73" s="11" t="s">
        <v>61</v>
      </c>
      <c r="F73" s="82">
        <f>IFERROR(P67/P36,0)</f>
        <v>0</v>
      </c>
    </row>
    <row r="74" spans="1:17">
      <c r="A74" s="11">
        <v>3</v>
      </c>
      <c r="B74" s="81" t="s">
        <v>146</v>
      </c>
      <c r="D74" s="11" t="s">
        <v>61</v>
      </c>
      <c r="F74" s="82">
        <f>IFERROR(SUM(P61:P65)/P33,0)</f>
        <v>0</v>
      </c>
    </row>
    <row r="75" spans="1:17">
      <c r="A75" s="11">
        <v>4</v>
      </c>
      <c r="B75" s="81" t="s">
        <v>193</v>
      </c>
      <c r="D75" s="11" t="s">
        <v>61</v>
      </c>
      <c r="F75" s="82">
        <f>IFERROR(P41/P33,0)</f>
        <v>0</v>
      </c>
    </row>
    <row r="77" spans="1:17" outlineLevel="1">
      <c r="B77" s="62" t="s">
        <v>160</v>
      </c>
    </row>
    <row r="78" spans="1:17" ht="5.25" customHeight="1" outlineLevel="1"/>
    <row r="79" spans="1:17" ht="45" customHeight="1" outlineLevel="1">
      <c r="B79" s="153" t="s">
        <v>158</v>
      </c>
      <c r="D79" s="208" t="s">
        <v>161</v>
      </c>
      <c r="E79" s="209"/>
      <c r="F79" s="209"/>
      <c r="G79" s="209"/>
      <c r="H79" s="209"/>
      <c r="I79" s="209"/>
      <c r="J79" s="209"/>
      <c r="K79" s="209"/>
      <c r="L79" s="209"/>
      <c r="M79" s="209"/>
      <c r="N79" s="210"/>
    </row>
    <row r="80" spans="1:17" outlineLevel="1">
      <c r="B80" s="61"/>
      <c r="D80" s="211" t="s">
        <v>162</v>
      </c>
      <c r="E80" s="212"/>
      <c r="F80" s="212"/>
      <c r="G80" s="212"/>
      <c r="H80" s="212"/>
      <c r="I80" s="212"/>
      <c r="J80" s="212"/>
      <c r="K80" s="212"/>
      <c r="L80" s="212"/>
      <c r="M80" s="212"/>
      <c r="N80" s="213"/>
    </row>
    <row r="81" spans="2:14" outlineLevel="1">
      <c r="B81" s="61"/>
      <c r="D81" s="233" t="s">
        <v>163</v>
      </c>
      <c r="E81" s="234"/>
      <c r="F81" s="234"/>
      <c r="G81" s="234"/>
      <c r="H81" s="234"/>
      <c r="I81" s="234"/>
      <c r="J81" s="234"/>
      <c r="K81" s="234"/>
      <c r="L81" s="234"/>
      <c r="M81" s="234"/>
      <c r="N81" s="235"/>
    </row>
    <row r="82" spans="2:14" outlineLevel="1">
      <c r="D82" s="233" t="s">
        <v>168</v>
      </c>
      <c r="E82" s="234"/>
      <c r="F82" s="234"/>
      <c r="G82" s="234"/>
      <c r="H82" s="234"/>
      <c r="I82" s="234"/>
      <c r="J82" s="234"/>
      <c r="K82" s="234"/>
      <c r="L82" s="234"/>
      <c r="M82" s="234"/>
      <c r="N82" s="235"/>
    </row>
    <row r="83" spans="2:14" outlineLevel="1">
      <c r="D83" s="236" t="s">
        <v>164</v>
      </c>
      <c r="E83" s="237"/>
      <c r="F83" s="237"/>
      <c r="G83" s="237"/>
      <c r="H83" s="237"/>
      <c r="I83" s="237"/>
      <c r="J83" s="237"/>
      <c r="K83" s="237"/>
      <c r="L83" s="237"/>
      <c r="M83" s="237"/>
      <c r="N83" s="238"/>
    </row>
    <row r="84" spans="2:14" ht="6.75" customHeight="1" outlineLevel="1"/>
    <row r="85" spans="2:14" ht="45" customHeight="1" outlineLevel="1">
      <c r="B85" s="154" t="s">
        <v>159</v>
      </c>
      <c r="C85" s="7"/>
      <c r="D85" s="239" t="s">
        <v>165</v>
      </c>
      <c r="E85" s="240"/>
      <c r="F85" s="240"/>
      <c r="G85" s="240"/>
      <c r="H85" s="240"/>
      <c r="I85" s="240"/>
      <c r="J85" s="240"/>
      <c r="K85" s="240"/>
      <c r="L85" s="240"/>
      <c r="M85" s="240"/>
      <c r="N85" s="241"/>
    </row>
    <row r="86" spans="2:14" outlineLevel="1">
      <c r="B86" s="61"/>
      <c r="D86" s="242" t="s">
        <v>166</v>
      </c>
      <c r="E86" s="243"/>
      <c r="F86" s="243"/>
      <c r="G86" s="243"/>
      <c r="H86" s="243"/>
      <c r="I86" s="243"/>
      <c r="J86" s="243"/>
      <c r="K86" s="243"/>
      <c r="L86" s="243"/>
      <c r="M86" s="243"/>
      <c r="N86" s="244"/>
    </row>
    <row r="87" spans="2:14" outlineLevel="1">
      <c r="B87" s="61"/>
      <c r="D87" s="220" t="s">
        <v>167</v>
      </c>
      <c r="E87" s="221"/>
      <c r="F87" s="221"/>
      <c r="G87" s="221"/>
      <c r="H87" s="221"/>
      <c r="I87" s="221"/>
      <c r="J87" s="221"/>
      <c r="K87" s="221"/>
      <c r="L87" s="221"/>
      <c r="M87" s="221"/>
      <c r="N87" s="222"/>
    </row>
    <row r="88" spans="2:14" outlineLevel="1">
      <c r="D88" s="220" t="s">
        <v>169</v>
      </c>
      <c r="E88" s="221"/>
      <c r="F88" s="221"/>
      <c r="G88" s="221"/>
      <c r="H88" s="221"/>
      <c r="I88" s="221"/>
      <c r="J88" s="221"/>
      <c r="K88" s="221"/>
      <c r="L88" s="221"/>
      <c r="M88" s="221"/>
      <c r="N88" s="222"/>
    </row>
    <row r="89" spans="2:14" outlineLevel="1">
      <c r="D89" s="223" t="s">
        <v>240</v>
      </c>
      <c r="E89" s="224"/>
      <c r="F89" s="224"/>
      <c r="G89" s="224"/>
      <c r="H89" s="224"/>
      <c r="I89" s="224"/>
      <c r="J89" s="224"/>
      <c r="K89" s="224"/>
      <c r="L89" s="224"/>
      <c r="M89" s="224"/>
      <c r="N89" s="225"/>
    </row>
    <row r="90" spans="2:14" ht="6" customHeight="1" outlineLevel="1"/>
    <row r="91" spans="2:14" ht="45" customHeight="1" outlineLevel="1">
      <c r="B91" s="155" t="s">
        <v>171</v>
      </c>
      <c r="C91" s="7"/>
      <c r="D91" s="198" t="s">
        <v>173</v>
      </c>
      <c r="E91" s="199"/>
      <c r="F91" s="199"/>
      <c r="G91" s="199"/>
      <c r="H91" s="199"/>
      <c r="I91" s="199"/>
      <c r="J91" s="199"/>
      <c r="K91" s="199"/>
      <c r="L91" s="199"/>
      <c r="M91" s="199"/>
      <c r="N91" s="200"/>
    </row>
    <row r="92" spans="2:14" outlineLevel="1">
      <c r="B92" s="61"/>
      <c r="D92" s="201" t="s">
        <v>172</v>
      </c>
      <c r="E92" s="202"/>
      <c r="F92" s="202"/>
      <c r="G92" s="202"/>
      <c r="H92" s="202"/>
      <c r="I92" s="202"/>
      <c r="J92" s="202"/>
      <c r="K92" s="202"/>
      <c r="L92" s="202"/>
      <c r="M92" s="202"/>
      <c r="N92" s="203"/>
    </row>
    <row r="93" spans="2:14" outlineLevel="1">
      <c r="B93" s="61"/>
      <c r="D93" s="214" t="s">
        <v>174</v>
      </c>
      <c r="E93" s="215"/>
      <c r="F93" s="215"/>
      <c r="G93" s="215"/>
      <c r="H93" s="215"/>
      <c r="I93" s="215"/>
      <c r="J93" s="215"/>
      <c r="K93" s="215"/>
      <c r="L93" s="215"/>
      <c r="M93" s="215"/>
      <c r="N93" s="216"/>
    </row>
    <row r="94" spans="2:14" outlineLevel="1">
      <c r="D94" s="214" t="s">
        <v>177</v>
      </c>
      <c r="E94" s="215"/>
      <c r="F94" s="215"/>
      <c r="G94" s="215"/>
      <c r="H94" s="215"/>
      <c r="I94" s="215"/>
      <c r="J94" s="215"/>
      <c r="K94" s="215"/>
      <c r="L94" s="215"/>
      <c r="M94" s="215"/>
      <c r="N94" s="216"/>
    </row>
    <row r="95" spans="2:14" outlineLevel="1">
      <c r="D95" s="217" t="s">
        <v>178</v>
      </c>
      <c r="E95" s="218"/>
      <c r="F95" s="218"/>
      <c r="G95" s="218"/>
      <c r="H95" s="218"/>
      <c r="I95" s="218"/>
      <c r="J95" s="218"/>
      <c r="K95" s="218"/>
      <c r="L95" s="218"/>
      <c r="M95" s="218"/>
      <c r="N95" s="219"/>
    </row>
  </sheetData>
  <sheetProtection password="C7B9" sheet="1" objects="1" scenarios="1"/>
  <mergeCells count="26">
    <mergeCell ref="D94:N94"/>
    <mergeCell ref="D95:N95"/>
    <mergeCell ref="J10:L10"/>
    <mergeCell ref="D88:N88"/>
    <mergeCell ref="D89:N89"/>
    <mergeCell ref="J31:N31"/>
    <mergeCell ref="H23:J23"/>
    <mergeCell ref="H24:J24"/>
    <mergeCell ref="D93:N93"/>
    <mergeCell ref="D81:N81"/>
    <mergeCell ref="D82:N82"/>
    <mergeCell ref="D83:N83"/>
    <mergeCell ref="D85:N85"/>
    <mergeCell ref="D86:N86"/>
    <mergeCell ref="D87:N87"/>
    <mergeCell ref="A1:N1"/>
    <mergeCell ref="A28:N28"/>
    <mergeCell ref="J6:L6"/>
    <mergeCell ref="D91:N91"/>
    <mergeCell ref="D92:N92"/>
    <mergeCell ref="H14:L14"/>
    <mergeCell ref="D6:F6"/>
    <mergeCell ref="D8:F8"/>
    <mergeCell ref="D10:F10"/>
    <mergeCell ref="D79:N79"/>
    <mergeCell ref="D80:N80"/>
  </mergeCells>
  <conditionalFormatting sqref="N15:N20 N6">
    <cfRule type="cellIs" dxfId="13" priority="12" operator="equal">
      <formula>"Нет"</formula>
    </cfRule>
    <cfRule type="cellIs" dxfId="12" priority="13" operator="equal">
      <formula>"Да"</formula>
    </cfRule>
  </conditionalFormatting>
  <conditionalFormatting sqref="J34">
    <cfRule type="cellIs" dxfId="11" priority="9" operator="lessThan">
      <formula>1</formula>
    </cfRule>
  </conditionalFormatting>
  <conditionalFormatting sqref="J35">
    <cfRule type="cellIs" dxfId="10" priority="8" operator="lessThan">
      <formula>1</formula>
    </cfRule>
  </conditionalFormatting>
  <conditionalFormatting sqref="J37:J40">
    <cfRule type="cellIs" dxfId="9" priority="7" operator="lessThan">
      <formula>1</formula>
    </cfRule>
  </conditionalFormatting>
  <conditionalFormatting sqref="J42:J60">
    <cfRule type="cellIs" dxfId="8" priority="6" operator="lessThan">
      <formula>1</formula>
    </cfRule>
  </conditionalFormatting>
  <conditionalFormatting sqref="J66">
    <cfRule type="cellIs" dxfId="7" priority="5" operator="lessThan">
      <formula>1</formula>
    </cfRule>
  </conditionalFormatting>
  <conditionalFormatting sqref="N10">
    <cfRule type="cellIs" dxfId="6" priority="1" operator="equal">
      <formula>"Нет"</formula>
    </cfRule>
    <cfRule type="cellIs" dxfId="5" priority="2" operator="equal">
      <formula>"Да"</formula>
    </cfRule>
  </conditionalFormatting>
  <dataValidations count="3">
    <dataValidation type="list" allowBlank="1" showInputMessage="1" showErrorMessage="1" sqref="D10:F10">
      <formula1>$P$17:$P$19</formula1>
    </dataValidation>
    <dataValidation type="list" allowBlank="1" showInputMessage="1" showErrorMessage="1" sqref="D8:F8">
      <formula1>$P$12:$P$13</formula1>
    </dataValidation>
    <dataValidation type="list" allowBlank="1" showInputMessage="1" showErrorMessage="1" sqref="F19 F21 F24:F26">
      <formula1>$P$5:$P$6</formula1>
    </dataValidation>
  </dataValidations>
  <hyperlinks>
    <hyperlink ref="A2" location="'Реестр листов'!A1" display="назад"/>
  </hyperlinks>
  <pageMargins left="0.35433070866141736" right="0.31496062992125984" top="0.56999999999999995" bottom="0.47244094488188981" header="0.31496062992125984" footer="0.31496062992125984"/>
  <pageSetup paperSize="9" scale="48" orientation="portrait" r:id="rId1"/>
  <headerFooter scaleWithDoc="0">
    <oddHeader>&amp;LНалоговый калькулятор ЕНВД/УСНО/ОСНО/Патент&amp;R&amp;A</oddHeader>
    <oddFooter>&amp;R&amp;P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Библиотеки!$A$2:$A$3</xm:f>
          </x14:formula1>
          <xm:sqref>F19 F21 F24:F26</xm:sqref>
        </x14:dataValidation>
        <x14:dataValidation type="list" allowBlank="1" showInputMessage="1" showErrorMessage="1">
          <x14:formula1>
            <xm:f>Библиотеки!$A$6:$A$7</xm:f>
          </x14:formula1>
          <xm:sqref>D8:F8</xm:sqref>
        </x14:dataValidation>
        <x14:dataValidation type="list" allowBlank="1" showInputMessage="1" showErrorMessage="1">
          <x14:formula1>
            <xm:f>Библиотеки!$A$11:$A$13</xm:f>
          </x14:formula1>
          <xm:sqref>D10:F10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2"/>
  <sheetViews>
    <sheetView showGridLines="0" zoomScaleNormal="100" workbookViewId="0">
      <selection activeCell="D16" sqref="D16"/>
    </sheetView>
  </sheetViews>
  <sheetFormatPr defaultRowHeight="12.75" outlineLevelRow="1" outlineLevelCol="1"/>
  <cols>
    <col min="1" max="1" width="9.140625" style="119"/>
    <col min="2" max="2" width="41.28515625" style="119" customWidth="1"/>
    <col min="3" max="3" width="15.5703125" style="119" customWidth="1"/>
    <col min="4" max="4" width="49.7109375" style="119" customWidth="1"/>
    <col min="5" max="5" width="56.42578125" style="119" customWidth="1"/>
    <col min="6" max="6" width="2.7109375" style="119" customWidth="1"/>
    <col min="7" max="7" width="17.85546875" style="119" hidden="1" customWidth="1" outlineLevel="1"/>
    <col min="8" max="9" width="9.140625" style="119" hidden="1" customWidth="1" outlineLevel="1"/>
    <col min="10" max="10" width="9.140625" style="119" collapsed="1"/>
    <col min="11" max="12" width="9.140625" style="119"/>
    <col min="13" max="13" width="54.140625" style="119" hidden="1" customWidth="1" outlineLevel="1"/>
    <col min="14" max="14" width="11.5703125" style="119" hidden="1" customWidth="1" outlineLevel="1"/>
    <col min="15" max="15" width="9.140625" style="119" hidden="1" customWidth="1" outlineLevel="1"/>
    <col min="16" max="16" width="9.140625" style="119" collapsed="1"/>
    <col min="17" max="16384" width="9.140625" style="119"/>
  </cols>
  <sheetData>
    <row r="1" spans="1:15" ht="26.25">
      <c r="A1" s="122" t="s">
        <v>289</v>
      </c>
      <c r="I1" s="245"/>
      <c r="J1" s="245"/>
      <c r="K1" s="245"/>
    </row>
    <row r="2" spans="1:15">
      <c r="A2" s="150" t="s">
        <v>327</v>
      </c>
    </row>
    <row r="3" spans="1:15" ht="23.25">
      <c r="A3" s="252" t="s">
        <v>318</v>
      </c>
      <c r="B3" s="252"/>
      <c r="C3" s="252"/>
      <c r="D3" s="252"/>
      <c r="E3" s="252"/>
    </row>
    <row r="5" spans="1:15" ht="15.75">
      <c r="B5" s="248" t="s">
        <v>309</v>
      </c>
      <c r="C5" s="249"/>
      <c r="D5" s="250"/>
    </row>
    <row r="7" spans="1:15" ht="15.75">
      <c r="A7" s="126" t="s">
        <v>7</v>
      </c>
      <c r="B7" s="126" t="s">
        <v>53</v>
      </c>
      <c r="C7" s="126"/>
      <c r="D7" s="126" t="s">
        <v>54</v>
      </c>
    </row>
    <row r="8" spans="1:15" ht="30">
      <c r="A8" s="125">
        <v>1</v>
      </c>
      <c r="B8" s="120" t="s">
        <v>76</v>
      </c>
      <c r="C8" s="120"/>
      <c r="D8" s="121">
        <f>'Вводная информация (1,2)'!D8</f>
        <v>0</v>
      </c>
    </row>
    <row r="9" spans="1:15" ht="16.5">
      <c r="A9" s="125">
        <v>2</v>
      </c>
      <c r="B9" s="120" t="s">
        <v>81</v>
      </c>
      <c r="C9" s="120"/>
      <c r="D9" s="121">
        <f>'Вводная информация (1,2)'!D10</f>
        <v>0</v>
      </c>
    </row>
    <row r="10" spans="1:15" ht="16.5">
      <c r="A10" s="125">
        <v>3</v>
      </c>
      <c r="B10" s="120" t="s">
        <v>196</v>
      </c>
      <c r="C10" s="120"/>
      <c r="D10" s="121" t="str">
        <f>'Вводная информация (1,2)'!N10</f>
        <v>Нет</v>
      </c>
      <c r="H10" s="129">
        <f>IF(D10="Нет",0,1)</f>
        <v>0</v>
      </c>
      <c r="M10" s="126" t="s">
        <v>291</v>
      </c>
      <c r="N10" s="126" t="s">
        <v>292</v>
      </c>
      <c r="O10" s="126" t="s">
        <v>293</v>
      </c>
    </row>
    <row r="11" spans="1:15" ht="33.75">
      <c r="M11" s="128" t="s">
        <v>294</v>
      </c>
      <c r="N11" s="129" t="s">
        <v>290</v>
      </c>
      <c r="O11" s="130">
        <v>1</v>
      </c>
    </row>
    <row r="12" spans="1:15" ht="22.5">
      <c r="B12" s="251" t="s">
        <v>310</v>
      </c>
      <c r="C12" s="251"/>
      <c r="D12" s="251"/>
      <c r="M12" s="128" t="s">
        <v>295</v>
      </c>
      <c r="N12" s="129" t="s">
        <v>290</v>
      </c>
      <c r="O12" s="130">
        <v>1</v>
      </c>
    </row>
    <row r="13" spans="1:15" ht="22.5">
      <c r="M13" s="128" t="s">
        <v>296</v>
      </c>
      <c r="N13" s="129" t="s">
        <v>290</v>
      </c>
      <c r="O13" s="130">
        <v>1</v>
      </c>
    </row>
    <row r="14" spans="1:15" ht="22.5">
      <c r="A14" s="126" t="s">
        <v>7</v>
      </c>
      <c r="B14" s="126" t="s">
        <v>53</v>
      </c>
      <c r="C14" s="126"/>
      <c r="D14" s="126" t="s">
        <v>54</v>
      </c>
      <c r="M14" s="128" t="s">
        <v>297</v>
      </c>
      <c r="N14" s="129" t="s">
        <v>290</v>
      </c>
      <c r="O14" s="130">
        <v>1</v>
      </c>
    </row>
    <row r="15" spans="1:15" ht="30">
      <c r="A15" s="125">
        <v>1</v>
      </c>
      <c r="B15" s="120" t="s">
        <v>322</v>
      </c>
      <c r="C15" s="120"/>
      <c r="D15" s="127"/>
      <c r="M15" s="128" t="s">
        <v>298</v>
      </c>
      <c r="N15" s="129" t="s">
        <v>290</v>
      </c>
      <c r="O15" s="130">
        <v>1</v>
      </c>
    </row>
    <row r="16" spans="1:15" ht="22.5">
      <c r="A16" s="125">
        <v>2</v>
      </c>
      <c r="B16" s="120" t="s">
        <v>292</v>
      </c>
      <c r="C16" s="120"/>
      <c r="D16" s="121" t="str">
        <f>IFERROR(VLOOKUP(D15,$M$10:$O$28,2),"")</f>
        <v/>
      </c>
      <c r="M16" s="128" t="s">
        <v>299</v>
      </c>
      <c r="N16" s="129" t="s">
        <v>290</v>
      </c>
      <c r="O16" s="130">
        <v>1</v>
      </c>
    </row>
    <row r="17" spans="1:15" ht="22.5">
      <c r="A17" s="125">
        <v>3</v>
      </c>
      <c r="B17" s="120" t="s">
        <v>304</v>
      </c>
      <c r="C17" s="120"/>
      <c r="D17" s="123">
        <f>IFERROR(VLOOKUP(D15,$M$10:$O$28,3),0)</f>
        <v>0</v>
      </c>
      <c r="M17" s="128" t="s">
        <v>300</v>
      </c>
      <c r="N17" s="129" t="s">
        <v>290</v>
      </c>
      <c r="O17" s="130">
        <v>1</v>
      </c>
    </row>
    <row r="18" spans="1:15" ht="22.5">
      <c r="A18" s="125">
        <v>4</v>
      </c>
      <c r="B18" s="120" t="s">
        <v>305</v>
      </c>
      <c r="C18" s="120"/>
      <c r="D18" s="151">
        <f>Библиотеки!H11</f>
        <v>1.589</v>
      </c>
      <c r="M18" s="128" t="s">
        <v>301</v>
      </c>
      <c r="N18" s="129" t="s">
        <v>290</v>
      </c>
      <c r="O18" s="130">
        <v>1</v>
      </c>
    </row>
    <row r="19" spans="1:15" ht="22.5">
      <c r="A19" s="125">
        <v>5</v>
      </c>
      <c r="B19" s="120" t="s">
        <v>306</v>
      </c>
      <c r="C19" s="120"/>
      <c r="D19" s="124">
        <f>Библиотеки!I11</f>
        <v>0.06</v>
      </c>
      <c r="G19" s="117" t="s">
        <v>70</v>
      </c>
      <c r="M19" s="128" t="s">
        <v>302</v>
      </c>
      <c r="N19" s="129" t="s">
        <v>290</v>
      </c>
      <c r="O19" s="130">
        <v>1</v>
      </c>
    </row>
    <row r="20" spans="1:15" ht="22.5">
      <c r="G20" s="87" t="s">
        <v>71</v>
      </c>
      <c r="M20" s="128" t="s">
        <v>303</v>
      </c>
      <c r="N20" s="129" t="s">
        <v>290</v>
      </c>
      <c r="O20" s="130">
        <v>1</v>
      </c>
    </row>
    <row r="21" spans="1:15" ht="22.5">
      <c r="B21" s="251" t="s">
        <v>311</v>
      </c>
      <c r="C21" s="251"/>
      <c r="D21" s="251"/>
      <c r="G21" s="87" t="s">
        <v>72</v>
      </c>
      <c r="M21" s="128" t="s">
        <v>338</v>
      </c>
      <c r="N21" s="129" t="s">
        <v>290</v>
      </c>
      <c r="O21" s="130">
        <v>1</v>
      </c>
    </row>
    <row r="22" spans="1:15">
      <c r="M22" s="128" t="s">
        <v>339</v>
      </c>
      <c r="N22" s="129" t="s">
        <v>340</v>
      </c>
      <c r="O22" s="130">
        <v>0.5</v>
      </c>
    </row>
    <row r="23" spans="1:15" ht="22.5">
      <c r="A23" s="126" t="s">
        <v>7</v>
      </c>
      <c r="B23" s="126" t="s">
        <v>53</v>
      </c>
      <c r="C23" s="126" t="s">
        <v>86</v>
      </c>
      <c r="D23" s="126" t="s">
        <v>54</v>
      </c>
      <c r="E23" s="126" t="s">
        <v>247</v>
      </c>
      <c r="G23" s="126"/>
      <c r="H23" s="188" t="s">
        <v>360</v>
      </c>
      <c r="I23" s="126" t="s">
        <v>315</v>
      </c>
      <c r="M23" s="128" t="s">
        <v>341</v>
      </c>
      <c r="N23" s="129" t="s">
        <v>290</v>
      </c>
      <c r="O23" s="130">
        <v>1</v>
      </c>
    </row>
    <row r="24" spans="1:15" ht="45">
      <c r="A24" s="125">
        <v>1</v>
      </c>
      <c r="B24" s="120" t="s">
        <v>332</v>
      </c>
      <c r="C24" s="125" t="s">
        <v>331</v>
      </c>
      <c r="D24" s="131"/>
      <c r="E24" s="120" t="s">
        <v>330</v>
      </c>
      <c r="G24" s="132" t="str">
        <f>'Вводная информация (1,2)'!P17</f>
        <v>Общественное питание</v>
      </c>
      <c r="H24" s="129">
        <f>IF(D24&gt;Библиотеки!I32,0,1)</f>
        <v>1</v>
      </c>
      <c r="I24" s="129">
        <f>IF(G24=$D$9,1,0)</f>
        <v>0</v>
      </c>
      <c r="M24" s="128" t="s">
        <v>342</v>
      </c>
      <c r="N24" s="129" t="s">
        <v>290</v>
      </c>
      <c r="O24" s="130">
        <v>1</v>
      </c>
    </row>
    <row r="25" spans="1:15" ht="30.75">
      <c r="A25" s="246">
        <v>2</v>
      </c>
      <c r="B25" s="137" t="s">
        <v>333</v>
      </c>
      <c r="C25" s="141" t="s">
        <v>331</v>
      </c>
      <c r="D25" s="131"/>
      <c r="E25" s="120"/>
      <c r="G25" s="132" t="str">
        <f>'Вводная информация (1,2)'!P18</f>
        <v>Розничная торговля</v>
      </c>
      <c r="H25" s="129">
        <f>IF(D25&gt;Библиотеки!I29,0,1)</f>
        <v>1</v>
      </c>
      <c r="I25" s="129">
        <f t="shared" ref="I25:I27" si="0">IF(G25=$D$9,1,0)</f>
        <v>0</v>
      </c>
      <c r="M25" s="128" t="s">
        <v>343</v>
      </c>
      <c r="N25" s="129" t="s">
        <v>290</v>
      </c>
      <c r="O25" s="130">
        <v>1</v>
      </c>
    </row>
    <row r="26" spans="1:15" ht="45">
      <c r="A26" s="247"/>
      <c r="B26" s="140" t="s">
        <v>314</v>
      </c>
      <c r="C26" s="125" t="s">
        <v>313</v>
      </c>
      <c r="D26" s="131"/>
      <c r="E26" s="120"/>
      <c r="M26" s="128" t="s">
        <v>344</v>
      </c>
      <c r="N26" s="129" t="s">
        <v>290</v>
      </c>
      <c r="O26" s="130">
        <v>1</v>
      </c>
    </row>
    <row r="27" spans="1:15" ht="30.75">
      <c r="A27" s="125">
        <v>3</v>
      </c>
      <c r="B27" s="120" t="s">
        <v>335</v>
      </c>
      <c r="C27" s="125" t="s">
        <v>334</v>
      </c>
      <c r="D27" s="131"/>
      <c r="E27" s="120"/>
      <c r="G27" s="132" t="str">
        <f>'Вводная информация (1,2)'!P19</f>
        <v>Транспортные услуги</v>
      </c>
      <c r="H27" s="129"/>
      <c r="I27" s="129">
        <f t="shared" si="0"/>
        <v>0</v>
      </c>
      <c r="M27" s="128" t="s">
        <v>345</v>
      </c>
      <c r="N27" s="129" t="s">
        <v>290</v>
      </c>
      <c r="O27" s="130">
        <v>1</v>
      </c>
    </row>
    <row r="28" spans="1:15" ht="31.5">
      <c r="A28" s="125">
        <v>4</v>
      </c>
      <c r="B28" s="133" t="s">
        <v>312</v>
      </c>
      <c r="C28" s="152" t="s">
        <v>336</v>
      </c>
      <c r="D28" s="138">
        <f>IFERROR(SUM(D29:D31)*H10,0)</f>
        <v>0</v>
      </c>
      <c r="M28" s="128" t="s">
        <v>346</v>
      </c>
      <c r="N28" s="129" t="s">
        <v>290</v>
      </c>
      <c r="O28" s="130">
        <v>1</v>
      </c>
    </row>
    <row r="29" spans="1:15" hidden="1" outlineLevel="1">
      <c r="A29" s="134"/>
      <c r="B29" s="135" t="s">
        <v>78</v>
      </c>
      <c r="C29" s="135"/>
      <c r="D29" s="136">
        <f>MIN(Библиотеки!H32/1000,(D24*Библиотеки!C32*H24+Библиотеки!C33*IF(D24&lt;=0,1,0))/1000*$D$17*D19*$I$24)</f>
        <v>0</v>
      </c>
    </row>
    <row r="30" spans="1:15" hidden="1" outlineLevel="1">
      <c r="A30" s="134"/>
      <c r="B30" s="135" t="s">
        <v>82</v>
      </c>
      <c r="C30" s="135"/>
      <c r="D30" s="136">
        <f>MIN(Библиотеки!H29/1000,IF(D26=G21,(D25*Библиотеки!C29*H25*I25),MAX((D25*Библиотеки!C30*I25),Библиотеки!D30*I25))/1000*$D$17*$D$19)</f>
        <v>0</v>
      </c>
    </row>
    <row r="31" spans="1:15" hidden="1" outlineLevel="1">
      <c r="A31" s="134"/>
      <c r="B31" s="135" t="s">
        <v>80</v>
      </c>
      <c r="C31" s="135"/>
      <c r="D31" s="136">
        <f>MIN(Библиотеки!C27*D27*I27*D17*D19/1000,Библиотеки!G27/1000*D17*D19)</f>
        <v>0</v>
      </c>
    </row>
    <row r="32" spans="1:15" collapsed="1"/>
  </sheetData>
  <sheetProtection password="C7B9" sheet="1" objects="1" scenarios="1"/>
  <sortState ref="M7:O25">
    <sortCondition ref="M7:M25"/>
  </sortState>
  <mergeCells count="6">
    <mergeCell ref="I1:K1"/>
    <mergeCell ref="A25:A26"/>
    <mergeCell ref="B5:D5"/>
    <mergeCell ref="B12:D12"/>
    <mergeCell ref="B21:D21"/>
    <mergeCell ref="A3:E3"/>
  </mergeCells>
  <conditionalFormatting sqref="D10">
    <cfRule type="cellIs" dxfId="4" priority="1" operator="equal">
      <formula>"Нет"</formula>
    </cfRule>
  </conditionalFormatting>
  <dataValidations count="2">
    <dataValidation type="list" allowBlank="1" showInputMessage="1" showErrorMessage="1" sqref="D26">
      <formula1>$G$20:$G$21</formula1>
    </dataValidation>
    <dataValidation type="list" allowBlank="1" showInputMessage="1" showErrorMessage="1" sqref="D15">
      <formula1>$M$11:$M$28</formula1>
    </dataValidation>
  </dataValidations>
  <hyperlinks>
    <hyperlink ref="A2" location="'Реестр листов'!A1" display="назад"/>
  </hyperlinks>
  <pageMargins left="0.42" right="0.28000000000000003" top="0.66" bottom="0.74803149606299213" header="0.31496062992125984" footer="0.31496062992125984"/>
  <pageSetup paperSize="9" scale="50" orientation="portrait" r:id="rId1"/>
  <headerFooter scaleWithDoc="0">
    <oddHeader>&amp;R&amp;A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showGridLines="0" topLeftCell="A4" zoomScale="80" zoomScaleNormal="80" workbookViewId="0">
      <selection activeCell="J6" sqref="J6"/>
    </sheetView>
  </sheetViews>
  <sheetFormatPr defaultColWidth="9.140625" defaultRowHeight="16.5"/>
  <cols>
    <col min="1" max="1" width="7.5703125" style="156" customWidth="1"/>
    <col min="2" max="2" width="35.7109375" style="156" customWidth="1"/>
    <col min="3" max="3" width="0.7109375" style="156" customWidth="1"/>
    <col min="4" max="4" width="20.7109375" style="156" customWidth="1"/>
    <col min="5" max="5" width="0.7109375" style="156" customWidth="1"/>
    <col min="6" max="10" width="21.7109375" style="156" customWidth="1"/>
    <col min="11" max="11" width="1.28515625" style="156" customWidth="1"/>
    <col min="12" max="12" width="20.7109375" style="156" customWidth="1"/>
    <col min="13" max="14" width="15.140625" style="156" customWidth="1"/>
    <col min="15" max="16384" width="9.140625" style="156"/>
  </cols>
  <sheetData>
    <row r="1" spans="1:10" ht="26.25">
      <c r="B1" s="157" t="s">
        <v>248</v>
      </c>
    </row>
    <row r="2" spans="1:10">
      <c r="A2" s="158" t="s">
        <v>327</v>
      </c>
    </row>
    <row r="3" spans="1:10" ht="20.25">
      <c r="A3" s="159" t="s">
        <v>209</v>
      </c>
      <c r="B3" s="159" t="s">
        <v>353</v>
      </c>
    </row>
    <row r="4" spans="1:10" ht="20.25">
      <c r="A4" s="159"/>
      <c r="B4" s="159"/>
    </row>
    <row r="5" spans="1:10" ht="18">
      <c r="J5" s="160" t="str">
        <f>'Вводная информация (1,2)'!N10</f>
        <v>Нет</v>
      </c>
    </row>
    <row r="6" spans="1:10" ht="18">
      <c r="G6" s="161" t="str">
        <f>'УСНО (Доходы)'!F2</f>
        <v>х</v>
      </c>
      <c r="H6" s="161" t="e">
        <f>'УСНО (Д-Р)'!F2</f>
        <v>#N/A</v>
      </c>
      <c r="J6" s="160" t="str">
        <f>IF(OR('Вводная информация (3) - ПАТЕНТ'!D24&gt;=Библиотеки!I32,'Вводная информация (3) - ПАТЕНТ'!D25&gt;=Библиотеки!I29),"Нет","Да")</f>
        <v>Да</v>
      </c>
    </row>
    <row r="7" spans="1:10" ht="18">
      <c r="A7" s="160" t="s">
        <v>7</v>
      </c>
      <c r="B7" s="160" t="s">
        <v>53</v>
      </c>
      <c r="C7" s="162"/>
      <c r="D7" s="160" t="s">
        <v>86</v>
      </c>
      <c r="E7" s="162"/>
      <c r="F7" s="160" t="s">
        <v>186</v>
      </c>
      <c r="G7" s="160" t="s">
        <v>180</v>
      </c>
      <c r="H7" s="160" t="s">
        <v>181</v>
      </c>
      <c r="I7" s="160" t="s">
        <v>187</v>
      </c>
      <c r="J7" s="160" t="s">
        <v>188</v>
      </c>
    </row>
    <row r="8" spans="1:10">
      <c r="A8" s="163">
        <v>1</v>
      </c>
      <c r="B8" s="164" t="s">
        <v>85</v>
      </c>
      <c r="D8" s="163" t="s">
        <v>75</v>
      </c>
      <c r="F8" s="165">
        <f>'Вводная информация (1,2)'!F33</f>
        <v>0</v>
      </c>
      <c r="G8" s="165">
        <f>'УСНО (Доходы)'!F5</f>
        <v>0</v>
      </c>
      <c r="H8" s="165">
        <f>'УСНО (Д-Р)'!F5</f>
        <v>0</v>
      </c>
      <c r="I8" s="165">
        <f>ОСНО!F5</f>
        <v>0</v>
      </c>
      <c r="J8" s="165">
        <f>ПАТЕНТ!F5</f>
        <v>0</v>
      </c>
    </row>
    <row r="9" spans="1:10">
      <c r="A9" s="163">
        <v>2</v>
      </c>
      <c r="B9" s="164" t="s">
        <v>272</v>
      </c>
      <c r="D9" s="163" t="s">
        <v>75</v>
      </c>
      <c r="F9" s="165">
        <f>'Вводная информация (1,2)'!F36</f>
        <v>0</v>
      </c>
      <c r="G9" s="165" t="e">
        <f>'УСНО (Доходы)'!F8+'УСНО (Доходы)'!F40</f>
        <v>#VALUE!</v>
      </c>
      <c r="H9" s="165" t="e">
        <f>'УСНО (Д-Р)'!F8+'УСНО (Д-Р)'!F40</f>
        <v>#N/A</v>
      </c>
      <c r="I9" s="165">
        <f>ОСНО!F8+ОСНО!F40</f>
        <v>0</v>
      </c>
      <c r="J9" s="165">
        <f>ПАТЕНТ!F8+ПАТЕНТ!F40</f>
        <v>0</v>
      </c>
    </row>
    <row r="10" spans="1:10">
      <c r="A10" s="166">
        <v>3</v>
      </c>
      <c r="B10" s="167" t="s">
        <v>139</v>
      </c>
      <c r="C10" s="168"/>
      <c r="D10" s="166" t="s">
        <v>75</v>
      </c>
      <c r="E10" s="168"/>
      <c r="F10" s="169">
        <f>F8-F9</f>
        <v>0</v>
      </c>
      <c r="G10" s="169" t="e">
        <f t="shared" ref="G10:J10" si="0">G8-G9</f>
        <v>#VALUE!</v>
      </c>
      <c r="H10" s="169" t="e">
        <f t="shared" si="0"/>
        <v>#N/A</v>
      </c>
      <c r="I10" s="169">
        <f t="shared" si="0"/>
        <v>0</v>
      </c>
      <c r="J10" s="169">
        <f t="shared" si="0"/>
        <v>0</v>
      </c>
    </row>
    <row r="11" spans="1:10" ht="49.5">
      <c r="A11" s="166">
        <v>4</v>
      </c>
      <c r="B11" s="167" t="s">
        <v>202</v>
      </c>
      <c r="C11" s="168"/>
      <c r="D11" s="166" t="s">
        <v>75</v>
      </c>
      <c r="E11" s="168"/>
      <c r="F11" s="169">
        <f>F10-$F$10</f>
        <v>0</v>
      </c>
      <c r="G11" s="169" t="e">
        <f>G10-$F$10</f>
        <v>#VALUE!</v>
      </c>
      <c r="H11" s="169" t="e">
        <f>H10-$F$10</f>
        <v>#N/A</v>
      </c>
      <c r="I11" s="169">
        <f>I10-$F$10</f>
        <v>0</v>
      </c>
      <c r="J11" s="169">
        <f>J10-$F$10</f>
        <v>0</v>
      </c>
    </row>
    <row r="13" spans="1:10">
      <c r="G13" s="253" t="s">
        <v>352</v>
      </c>
      <c r="H13" s="253"/>
      <c r="I13" s="253"/>
      <c r="J13" s="253"/>
    </row>
    <row r="14" spans="1:10" ht="6.75" customHeight="1"/>
    <row r="15" spans="1:10" ht="26.25">
      <c r="G15" s="170" t="e">
        <f>RANK(G11,$G$11:$J$11)</f>
        <v>#VALUE!</v>
      </c>
      <c r="H15" s="170" t="e">
        <f t="shared" ref="H15:J15" si="1">RANK(H11,$G$11:$J$11)</f>
        <v>#N/A</v>
      </c>
      <c r="I15" s="170" t="e">
        <f t="shared" si="1"/>
        <v>#VALUE!</v>
      </c>
      <c r="J15" s="170" t="e">
        <f t="shared" si="1"/>
        <v>#VALUE!</v>
      </c>
    </row>
    <row r="17" spans="1:10" ht="20.25">
      <c r="A17" s="159" t="s">
        <v>210</v>
      </c>
      <c r="B17" s="159" t="s">
        <v>361</v>
      </c>
    </row>
    <row r="19" spans="1:10" ht="18">
      <c r="A19" s="160" t="s">
        <v>7</v>
      </c>
      <c r="B19" s="160" t="s">
        <v>53</v>
      </c>
      <c r="C19" s="162"/>
      <c r="D19" s="160" t="s">
        <v>86</v>
      </c>
      <c r="E19" s="162"/>
      <c r="F19" s="160" t="s">
        <v>186</v>
      </c>
      <c r="G19" s="160" t="s">
        <v>180</v>
      </c>
      <c r="H19" s="160" t="s">
        <v>181</v>
      </c>
      <c r="I19" s="160" t="s">
        <v>187</v>
      </c>
      <c r="J19" s="160" t="s">
        <v>188</v>
      </c>
    </row>
    <row r="20" spans="1:10">
      <c r="A20" s="163">
        <v>1</v>
      </c>
      <c r="B20" s="164" t="s">
        <v>189</v>
      </c>
      <c r="D20" s="163" t="s">
        <v>75</v>
      </c>
      <c r="F20" s="165">
        <v>0</v>
      </c>
      <c r="G20" s="165">
        <v>0</v>
      </c>
      <c r="H20" s="165">
        <v>0</v>
      </c>
      <c r="I20" s="165">
        <f>ОСНО!P41</f>
        <v>0</v>
      </c>
      <c r="J20" s="165">
        <v>0</v>
      </c>
    </row>
    <row r="21" spans="1:10">
      <c r="A21" s="163">
        <v>2</v>
      </c>
      <c r="B21" s="164" t="s">
        <v>198</v>
      </c>
      <c r="D21" s="163" t="s">
        <v>75</v>
      </c>
      <c r="F21" s="165">
        <v>0</v>
      </c>
      <c r="G21" s="165">
        <v>0</v>
      </c>
      <c r="H21" s="165">
        <v>0</v>
      </c>
      <c r="I21" s="165">
        <f>ОСНО!O40</f>
        <v>0</v>
      </c>
      <c r="J21" s="165">
        <v>0</v>
      </c>
    </row>
    <row r="22" spans="1:10">
      <c r="A22" s="163">
        <v>3</v>
      </c>
      <c r="B22" s="164" t="s">
        <v>186</v>
      </c>
      <c r="D22" s="163" t="s">
        <v>75</v>
      </c>
      <c r="F22" s="165">
        <f>'Вводная информация (1,2)'!F61</f>
        <v>0</v>
      </c>
      <c r="G22" s="165">
        <v>0</v>
      </c>
      <c r="H22" s="165">
        <v>0</v>
      </c>
      <c r="I22" s="165">
        <v>0</v>
      </c>
      <c r="J22" s="165">
        <v>0</v>
      </c>
    </row>
    <row r="23" spans="1:10">
      <c r="A23" s="163">
        <v>4</v>
      </c>
      <c r="B23" s="164" t="s">
        <v>157</v>
      </c>
      <c r="D23" s="163" t="s">
        <v>75</v>
      </c>
      <c r="F23" s="165">
        <v>0</v>
      </c>
      <c r="G23" s="165" t="e">
        <f>'УСНО (Доходы)'!N40</f>
        <v>#VALUE!</v>
      </c>
      <c r="H23" s="165" t="e">
        <f>'УСНО (Д-Р)'!N40</f>
        <v>#N/A</v>
      </c>
      <c r="I23" s="165">
        <v>0</v>
      </c>
      <c r="J23" s="165">
        <v>0</v>
      </c>
    </row>
    <row r="24" spans="1:10">
      <c r="A24" s="163">
        <v>5</v>
      </c>
      <c r="B24" s="164" t="s">
        <v>356</v>
      </c>
      <c r="D24" s="163" t="s">
        <v>75</v>
      </c>
      <c r="F24" s="165">
        <v>0</v>
      </c>
      <c r="G24" s="165">
        <v>0</v>
      </c>
      <c r="H24" s="165">
        <v>0</v>
      </c>
      <c r="I24" s="165">
        <v>0</v>
      </c>
      <c r="J24" s="165">
        <f>ПАТЕНТ!F40</f>
        <v>0</v>
      </c>
    </row>
    <row r="25" spans="1:10">
      <c r="A25" s="163">
        <v>6</v>
      </c>
      <c r="B25" s="164" t="s">
        <v>354</v>
      </c>
      <c r="D25" s="163" t="s">
        <v>75</v>
      </c>
      <c r="F25" s="165">
        <f>'Вводная информация (1,2)'!F62</f>
        <v>0</v>
      </c>
      <c r="G25" s="165">
        <f>'УСНО (Доходы)'!N34</f>
        <v>0</v>
      </c>
      <c r="H25" s="165">
        <f>'УСНО (Д-Р)'!N34</f>
        <v>0</v>
      </c>
      <c r="I25" s="165">
        <f>ОСНО!Q34</f>
        <v>0</v>
      </c>
      <c r="J25" s="165">
        <f>ПАТЕНТ!F34</f>
        <v>0</v>
      </c>
    </row>
    <row r="26" spans="1:10">
      <c r="A26" s="163">
        <v>7</v>
      </c>
      <c r="B26" s="164" t="s">
        <v>128</v>
      </c>
      <c r="D26" s="163" t="s">
        <v>75</v>
      </c>
      <c r="F26" s="165">
        <f>'Вводная информация (1,2)'!F63</f>
        <v>0</v>
      </c>
      <c r="G26" s="165">
        <f>'УСНО (Доходы)'!N35</f>
        <v>0</v>
      </c>
      <c r="H26" s="165">
        <f>'УСНО (Д-Р)'!N35</f>
        <v>0</v>
      </c>
      <c r="I26" s="165">
        <f>ОСНО!Q35</f>
        <v>0</v>
      </c>
      <c r="J26" s="165">
        <f>ПАТЕНТ!F35</f>
        <v>0</v>
      </c>
    </row>
    <row r="27" spans="1:10">
      <c r="A27" s="163">
        <v>8</v>
      </c>
      <c r="B27" s="164" t="s">
        <v>129</v>
      </c>
      <c r="D27" s="163" t="s">
        <v>75</v>
      </c>
      <c r="F27" s="165">
        <f>'Вводная информация (1,2)'!F64</f>
        <v>0</v>
      </c>
      <c r="G27" s="165">
        <f>'УСНО (Доходы)'!N36</f>
        <v>0</v>
      </c>
      <c r="H27" s="165">
        <f>'УСНО (Д-Р)'!N36</f>
        <v>0</v>
      </c>
      <c r="I27" s="165">
        <f>ОСНО!Q36</f>
        <v>0</v>
      </c>
      <c r="J27" s="165">
        <f>ПАТЕНТ!F36</f>
        <v>0</v>
      </c>
    </row>
    <row r="28" spans="1:10">
      <c r="A28" s="163">
        <v>9</v>
      </c>
      <c r="B28" s="164" t="s">
        <v>149</v>
      </c>
      <c r="D28" s="163" t="s">
        <v>75</v>
      </c>
      <c r="F28" s="165">
        <f>'Вводная информация (1,2)'!F65</f>
        <v>0</v>
      </c>
      <c r="G28" s="165">
        <f>'УСНО (Доходы)'!N37</f>
        <v>0</v>
      </c>
      <c r="H28" s="165">
        <f>'УСНО (Д-Р)'!N37</f>
        <v>0</v>
      </c>
      <c r="I28" s="165">
        <f>ОСНО!Q37</f>
        <v>0</v>
      </c>
      <c r="J28" s="165">
        <f>ПАТЕНТ!F37</f>
        <v>0</v>
      </c>
    </row>
    <row r="29" spans="1:10">
      <c r="A29" s="163">
        <v>10</v>
      </c>
      <c r="B29" s="164" t="s">
        <v>355</v>
      </c>
      <c r="D29" s="163" t="s">
        <v>75</v>
      </c>
      <c r="F29" s="165">
        <f>'Вводная информация (1,2)'!F41</f>
        <v>0</v>
      </c>
      <c r="G29" s="165">
        <f>'УСНО (Доходы)'!N13</f>
        <v>0</v>
      </c>
      <c r="H29" s="165">
        <f>'УСНО (Д-Р)'!N13</f>
        <v>0</v>
      </c>
      <c r="I29" s="165">
        <f>ОСНО!Q13</f>
        <v>0</v>
      </c>
      <c r="J29" s="165">
        <f>ПАТЕНТ!F13</f>
        <v>0</v>
      </c>
    </row>
    <row r="30" spans="1:10" ht="33">
      <c r="A30" s="166">
        <v>11</v>
      </c>
      <c r="B30" s="167" t="s">
        <v>191</v>
      </c>
      <c r="C30" s="168"/>
      <c r="D30" s="166" t="s">
        <v>75</v>
      </c>
      <c r="E30" s="168"/>
      <c r="F30" s="169">
        <f>SUM(F20:F29)</f>
        <v>0</v>
      </c>
      <c r="G30" s="169" t="e">
        <f>SUM(G20:G29)</f>
        <v>#VALUE!</v>
      </c>
      <c r="H30" s="169" t="e">
        <f>SUM(H20:H29)</f>
        <v>#N/A</v>
      </c>
      <c r="I30" s="169">
        <f>SUM(I20:I29)</f>
        <v>0</v>
      </c>
      <c r="J30" s="169">
        <f>SUM(J20:J29)</f>
        <v>0</v>
      </c>
    </row>
    <row r="31" spans="1:10" ht="49.5">
      <c r="A31" s="166">
        <v>12</v>
      </c>
      <c r="B31" s="167" t="s">
        <v>350</v>
      </c>
      <c r="C31" s="168"/>
      <c r="D31" s="166" t="s">
        <v>75</v>
      </c>
      <c r="E31" s="168"/>
      <c r="F31" s="169">
        <f>F30-$F$30</f>
        <v>0</v>
      </c>
      <c r="G31" s="169" t="e">
        <f t="shared" ref="G31:J31" si="2">G30-$F$30</f>
        <v>#VALUE!</v>
      </c>
      <c r="H31" s="169" t="e">
        <f t="shared" si="2"/>
        <v>#N/A</v>
      </c>
      <c r="I31" s="169">
        <f t="shared" si="2"/>
        <v>0</v>
      </c>
      <c r="J31" s="169">
        <f t="shared" si="2"/>
        <v>0</v>
      </c>
    </row>
    <row r="32" spans="1:10" ht="49.5">
      <c r="A32" s="166">
        <v>13</v>
      </c>
      <c r="B32" s="167" t="s">
        <v>351</v>
      </c>
      <c r="C32" s="168"/>
      <c r="D32" s="166" t="s">
        <v>61</v>
      </c>
      <c r="E32" s="168"/>
      <c r="F32" s="171">
        <f>IFERROR(F31/$F$30,0)</f>
        <v>0</v>
      </c>
      <c r="G32" s="171">
        <f t="shared" ref="G32:J32" si="3">IFERROR(G31/$F$30,0)</f>
        <v>0</v>
      </c>
      <c r="H32" s="171">
        <f t="shared" si="3"/>
        <v>0</v>
      </c>
      <c r="I32" s="171">
        <f t="shared" si="3"/>
        <v>0</v>
      </c>
      <c r="J32" s="171">
        <f t="shared" si="3"/>
        <v>0</v>
      </c>
    </row>
    <row r="34" spans="1:10" ht="20.25">
      <c r="A34" s="159" t="s">
        <v>211</v>
      </c>
      <c r="B34" s="172" t="s">
        <v>348</v>
      </c>
      <c r="C34" s="173"/>
      <c r="D34" s="173"/>
      <c r="E34" s="173"/>
      <c r="F34" s="173"/>
    </row>
    <row r="35" spans="1:10" ht="20.25">
      <c r="A35" s="159"/>
      <c r="B35" s="172" t="s">
        <v>349</v>
      </c>
      <c r="C35" s="173"/>
      <c r="D35" s="173"/>
      <c r="E35" s="173"/>
      <c r="F35" s="173"/>
    </row>
    <row r="36" spans="1:10">
      <c r="A36" s="173"/>
      <c r="B36" s="173"/>
      <c r="C36" s="173"/>
      <c r="D36" s="173"/>
      <c r="E36" s="173"/>
      <c r="F36" s="173"/>
    </row>
    <row r="37" spans="1:10" ht="18">
      <c r="A37" s="174" t="s">
        <v>7</v>
      </c>
      <c r="B37" s="174" t="s">
        <v>53</v>
      </c>
      <c r="C37" s="175"/>
      <c r="D37" s="160" t="s">
        <v>86</v>
      </c>
      <c r="E37" s="175"/>
      <c r="F37" s="160" t="s">
        <v>186</v>
      </c>
      <c r="G37" s="160" t="s">
        <v>180</v>
      </c>
      <c r="H37" s="160" t="s">
        <v>181</v>
      </c>
      <c r="I37" s="160" t="s">
        <v>187</v>
      </c>
      <c r="J37" s="160" t="s">
        <v>188</v>
      </c>
    </row>
    <row r="38" spans="1:10" ht="33">
      <c r="A38" s="176">
        <v>1</v>
      </c>
      <c r="B38" s="177" t="s">
        <v>141</v>
      </c>
      <c r="C38" s="173"/>
      <c r="D38" s="178" t="s">
        <v>61</v>
      </c>
      <c r="E38" s="173"/>
      <c r="F38" s="179">
        <f>'Вводная информация (1,2)'!F72</f>
        <v>0</v>
      </c>
      <c r="G38" s="179">
        <f>IFERROR('УСНО (Доходы)'!F46,0)</f>
        <v>0</v>
      </c>
      <c r="H38" s="179">
        <f>IFERROR('УСНО (Д-Р)'!F46,0)</f>
        <v>0</v>
      </c>
      <c r="I38" s="179">
        <f>IFERROR(ОСНО!F46,0)</f>
        <v>0</v>
      </c>
      <c r="J38" s="179">
        <f>IFERROR(ПАТЕНТ!F46,0)</f>
        <v>0</v>
      </c>
    </row>
    <row r="39" spans="1:10" ht="33">
      <c r="A39" s="176">
        <v>2</v>
      </c>
      <c r="B39" s="177" t="s">
        <v>142</v>
      </c>
      <c r="C39" s="173"/>
      <c r="D39" s="178" t="s">
        <v>61</v>
      </c>
      <c r="E39" s="173"/>
      <c r="F39" s="179">
        <f>'Вводная информация (1,2)'!F73</f>
        <v>0</v>
      </c>
      <c r="G39" s="179">
        <f>IFERROR('УСНО (Доходы)'!F47,0)</f>
        <v>0</v>
      </c>
      <c r="H39" s="179">
        <f>IFERROR('УСНО (Д-Р)'!F47,0)</f>
        <v>0</v>
      </c>
      <c r="I39" s="179">
        <f>IFERROR(ОСНО!F47,0)</f>
        <v>0</v>
      </c>
      <c r="J39" s="179">
        <f>IFERROR(ПАТЕНТ!F47,0)</f>
        <v>0</v>
      </c>
    </row>
    <row r="40" spans="1:10">
      <c r="A40" s="176">
        <v>3</v>
      </c>
      <c r="B40" s="177" t="s">
        <v>146</v>
      </c>
      <c r="C40" s="173"/>
      <c r="D40" s="178" t="s">
        <v>61</v>
      </c>
      <c r="E40" s="173"/>
      <c r="F40" s="179">
        <f>'Вводная информация (1,2)'!F74</f>
        <v>0</v>
      </c>
      <c r="G40" s="179">
        <f>IFERROR('УСНО (Доходы)'!F48,0)</f>
        <v>0</v>
      </c>
      <c r="H40" s="179">
        <f>IFERROR('УСНО (Д-Р)'!F48,0)</f>
        <v>0</v>
      </c>
      <c r="I40" s="179">
        <f>IFERROR(ОСНО!F48,0)</f>
        <v>0</v>
      </c>
      <c r="J40" s="179">
        <f>IFERROR(ПАТЕНТ!F48,0)</f>
        <v>0</v>
      </c>
    </row>
    <row r="41" spans="1:10" ht="33">
      <c r="A41" s="176">
        <v>4</v>
      </c>
      <c r="B41" s="177" t="s">
        <v>193</v>
      </c>
      <c r="C41" s="173"/>
      <c r="D41" s="178" t="s">
        <v>61</v>
      </c>
      <c r="E41" s="173"/>
      <c r="F41" s="179">
        <f>'Вводная информация (1,2)'!F75</f>
        <v>0</v>
      </c>
      <c r="G41" s="179">
        <f>IFERROR('УСНО (Доходы)'!F49,0)</f>
        <v>0</v>
      </c>
      <c r="H41" s="179">
        <f>IFERROR('УСНО (Д-Р)'!F49,0)</f>
        <v>0</v>
      </c>
      <c r="I41" s="179">
        <f>IFERROR(ОСНО!F49,0)</f>
        <v>0</v>
      </c>
      <c r="J41" s="179">
        <f>IFERROR(ПАТЕНТ!F49,0)</f>
        <v>0</v>
      </c>
    </row>
  </sheetData>
  <sheetProtection password="C7B9" sheet="1" objects="1" scenarios="1"/>
  <mergeCells count="1">
    <mergeCell ref="G13:J13"/>
  </mergeCells>
  <conditionalFormatting sqref="J5:J6">
    <cfRule type="cellIs" dxfId="3" priority="5" operator="equal">
      <formula>"Нет"</formula>
    </cfRule>
  </conditionalFormatting>
  <conditionalFormatting sqref="F11:J11">
    <cfRule type="cellIs" dxfId="2" priority="4" operator="lessThan">
      <formula>0</formula>
    </cfRule>
  </conditionalFormatting>
  <conditionalFormatting sqref="F31:J31">
    <cfRule type="cellIs" dxfId="1" priority="3" operator="greaterThan">
      <formula>0</formula>
    </cfRule>
  </conditionalFormatting>
  <conditionalFormatting sqref="G15:J15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1:J31">
    <cfRule type="cellIs" dxfId="0" priority="1" operator="lessThan">
      <formula>0</formula>
    </cfRule>
  </conditionalFormatting>
  <hyperlinks>
    <hyperlink ref="A2" location="'Реестр листов'!A1" display="назад"/>
  </hyperlinks>
  <pageMargins left="0.35433070866141736" right="0.31496062992125984" top="0.54" bottom="0.47244094488188981" header="0.31496062992125984" footer="0.31496062992125984"/>
  <pageSetup paperSize="9" scale="53" orientation="landscape" r:id="rId1"/>
  <headerFooter scaleWithDoc="0">
    <oddHeader>&amp;LНалоговый калькулятор ЕНВД/УСНО/ОСНО/Патент&amp;R&amp;A</oddHeader>
    <oddFooter>&amp;R&amp;P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O49"/>
  <sheetViews>
    <sheetView showGridLines="0" workbookViewId="0">
      <selection activeCell="D19" sqref="D19"/>
    </sheetView>
  </sheetViews>
  <sheetFormatPr defaultColWidth="9.140625" defaultRowHeight="17.25" outlineLevelCol="1"/>
  <cols>
    <col min="1" max="1" width="7.5703125" style="65" customWidth="1"/>
    <col min="2" max="2" width="60.7109375" style="65" customWidth="1"/>
    <col min="3" max="3" width="0.7109375" style="65" customWidth="1"/>
    <col min="4" max="4" width="16.85546875" style="65" customWidth="1"/>
    <col min="5" max="5" width="0.7109375" style="65" customWidth="1"/>
    <col min="6" max="6" width="23.7109375" style="65" customWidth="1"/>
    <col min="7" max="7" width="0.7109375" style="65" customWidth="1"/>
    <col min="8" max="8" width="20.7109375" style="65" customWidth="1"/>
    <col min="9" max="9" width="0.5703125" style="65" customWidth="1"/>
    <col min="10" max="10" width="20.7109375" style="65" customWidth="1"/>
    <col min="11" max="11" width="0.5703125" style="65" customWidth="1"/>
    <col min="12" max="12" width="20.7109375" style="65" customWidth="1"/>
    <col min="13" max="13" width="0.7109375" style="65" customWidth="1"/>
    <col min="14" max="14" width="23.7109375" style="65" hidden="1" customWidth="1" outlineLevel="1"/>
    <col min="15" max="15" width="15.140625" style="65" customWidth="1" collapsed="1"/>
    <col min="16" max="17" width="15.140625" style="65" customWidth="1"/>
    <col min="18" max="16384" width="9.140625" style="65"/>
  </cols>
  <sheetData>
    <row r="1" spans="1:14" ht="26.25">
      <c r="B1" s="66" t="s">
        <v>180</v>
      </c>
    </row>
    <row r="2" spans="1:14" ht="21">
      <c r="A2" s="150" t="s">
        <v>327</v>
      </c>
      <c r="B2" s="67" t="s">
        <v>84</v>
      </c>
      <c r="D2" s="80" t="s">
        <v>184</v>
      </c>
      <c r="F2" s="79" t="str">
        <f>IFERROR(VLOOKUP('Вводная информация (1,2)'!D10,Библиотеки!$A$10:$G$13,6),"х")</f>
        <v>х</v>
      </c>
    </row>
    <row r="4" spans="1:14" ht="18.75">
      <c r="A4" s="68" t="s">
        <v>7</v>
      </c>
      <c r="B4" s="68" t="s">
        <v>53</v>
      </c>
      <c r="C4" s="69"/>
      <c r="D4" s="68" t="s">
        <v>86</v>
      </c>
      <c r="E4" s="69"/>
      <c r="F4" s="68" t="s">
        <v>143</v>
      </c>
      <c r="G4" s="69"/>
      <c r="H4" s="68" t="s">
        <v>140</v>
      </c>
      <c r="N4" s="68" t="s">
        <v>192</v>
      </c>
    </row>
    <row r="5" spans="1:14">
      <c r="A5" s="70">
        <v>1</v>
      </c>
      <c r="B5" s="71" t="s">
        <v>85</v>
      </c>
      <c r="C5" s="72"/>
      <c r="D5" s="70" t="s">
        <v>75</v>
      </c>
      <c r="E5" s="72"/>
      <c r="F5" s="33">
        <f>SUM(F6:F7)</f>
        <v>0</v>
      </c>
      <c r="H5" s="35">
        <f>IFERROR(F5/$F$5,0)</f>
        <v>0</v>
      </c>
      <c r="N5" s="33">
        <f>SUM(N6:N7)</f>
        <v>0</v>
      </c>
    </row>
    <row r="6" spans="1:14">
      <c r="A6" s="73" t="s">
        <v>130</v>
      </c>
      <c r="B6" s="74" t="s">
        <v>132</v>
      </c>
      <c r="D6" s="73" t="s">
        <v>75</v>
      </c>
      <c r="F6" s="29">
        <f>'Вводная информация (1,2)'!F34</f>
        <v>0</v>
      </c>
      <c r="H6" s="36">
        <f t="shared" ref="H6:H7" si="0">IFERROR(F6/$F$5,0)</f>
        <v>0</v>
      </c>
      <c r="N6" s="29">
        <f>F6*'Вводная информация (1,2)'!J34</f>
        <v>0</v>
      </c>
    </row>
    <row r="7" spans="1:14" ht="34.5">
      <c r="A7" s="73" t="s">
        <v>131</v>
      </c>
      <c r="B7" s="74" t="s">
        <v>133</v>
      </c>
      <c r="D7" s="73" t="s">
        <v>75</v>
      </c>
      <c r="F7" s="29">
        <f>'Вводная информация (1,2)'!F35</f>
        <v>0</v>
      </c>
      <c r="H7" s="36">
        <f t="shared" si="0"/>
        <v>0</v>
      </c>
      <c r="I7" s="53"/>
      <c r="N7" s="29">
        <f>F7*'Вводная информация (1,2)'!J35</f>
        <v>0</v>
      </c>
    </row>
    <row r="8" spans="1:14">
      <c r="A8" s="70">
        <v>2</v>
      </c>
      <c r="B8" s="71" t="s">
        <v>87</v>
      </c>
      <c r="C8" s="72"/>
      <c r="D8" s="70" t="s">
        <v>75</v>
      </c>
      <c r="E8" s="72"/>
      <c r="F8" s="33">
        <f>SUM(F9:F38)</f>
        <v>0</v>
      </c>
      <c r="H8" s="35">
        <f>IFERROR(F8/$F$8,0)</f>
        <v>0</v>
      </c>
      <c r="I8" s="52"/>
      <c r="N8" s="33">
        <f>SUM(N9:N38)</f>
        <v>0</v>
      </c>
    </row>
    <row r="9" spans="1:14" ht="34.5">
      <c r="A9" s="73" t="s">
        <v>2</v>
      </c>
      <c r="B9" s="26" t="s">
        <v>238</v>
      </c>
      <c r="D9" s="73" t="s">
        <v>75</v>
      </c>
      <c r="F9" s="29">
        <f>'Вводная информация (1,2)'!F37</f>
        <v>0</v>
      </c>
      <c r="H9" s="36">
        <f t="shared" ref="H9:H38" si="1">IFERROR(F9/$F$8,0)</f>
        <v>0</v>
      </c>
      <c r="I9" s="53"/>
      <c r="N9" s="29">
        <f>F9*'Вводная информация (1,2)'!J37</f>
        <v>0</v>
      </c>
    </row>
    <row r="10" spans="1:14">
      <c r="A10" s="73" t="s">
        <v>3</v>
      </c>
      <c r="B10" s="26" t="s">
        <v>237</v>
      </c>
      <c r="D10" s="73" t="s">
        <v>75</v>
      </c>
      <c r="F10" s="29">
        <f>'Вводная информация (1,2)'!F38</f>
        <v>0</v>
      </c>
      <c r="H10" s="36">
        <f t="shared" si="1"/>
        <v>0</v>
      </c>
      <c r="I10" s="53"/>
      <c r="N10" s="29">
        <f>F10*'Вводная информация (1,2)'!J38</f>
        <v>0</v>
      </c>
    </row>
    <row r="11" spans="1:14">
      <c r="A11" s="73" t="s">
        <v>4</v>
      </c>
      <c r="B11" s="74" t="s">
        <v>152</v>
      </c>
      <c r="D11" s="73" t="s">
        <v>75</v>
      </c>
      <c r="F11" s="29">
        <f>'Вводная информация (1,2)'!F39</f>
        <v>0</v>
      </c>
      <c r="H11" s="36">
        <f t="shared" si="1"/>
        <v>0</v>
      </c>
      <c r="I11" s="53"/>
      <c r="N11" s="29">
        <f>F11*'Вводная информация (1,2)'!J39</f>
        <v>0</v>
      </c>
    </row>
    <row r="12" spans="1:14">
      <c r="A12" s="73" t="s">
        <v>88</v>
      </c>
      <c r="B12" s="74" t="s">
        <v>179</v>
      </c>
      <c r="D12" s="73" t="s">
        <v>75</v>
      </c>
      <c r="F12" s="29">
        <f>'Вводная информация (1,2)'!F40</f>
        <v>0</v>
      </c>
      <c r="H12" s="36">
        <f t="shared" si="1"/>
        <v>0</v>
      </c>
      <c r="I12" s="53"/>
      <c r="N12" s="29">
        <f>F12*'Вводная информация (1,2)'!J40</f>
        <v>0</v>
      </c>
    </row>
    <row r="13" spans="1:14">
      <c r="A13" s="73" t="s">
        <v>89</v>
      </c>
      <c r="B13" s="74" t="s">
        <v>96</v>
      </c>
      <c r="D13" s="73" t="s">
        <v>75</v>
      </c>
      <c r="F13" s="29">
        <f>'Вводная информация (1,2)'!F41</f>
        <v>0</v>
      </c>
      <c r="H13" s="36">
        <f t="shared" si="1"/>
        <v>0</v>
      </c>
      <c r="I13" s="53"/>
      <c r="N13" s="29">
        <f>F13*'Вводная информация (1,2)'!J41</f>
        <v>0</v>
      </c>
    </row>
    <row r="14" spans="1:14">
      <c r="A14" s="73" t="s">
        <v>90</v>
      </c>
      <c r="B14" s="74" t="s">
        <v>97</v>
      </c>
      <c r="D14" s="73" t="s">
        <v>75</v>
      </c>
      <c r="F14" s="29">
        <f>'Вводная информация (1,2)'!F42</f>
        <v>0</v>
      </c>
      <c r="H14" s="36">
        <f t="shared" si="1"/>
        <v>0</v>
      </c>
      <c r="I14" s="53"/>
      <c r="N14" s="29">
        <f>F14*'Вводная информация (1,2)'!J42</f>
        <v>0</v>
      </c>
    </row>
    <row r="15" spans="1:14">
      <c r="A15" s="73" t="s">
        <v>91</v>
      </c>
      <c r="B15" s="74" t="s">
        <v>100</v>
      </c>
      <c r="D15" s="73" t="s">
        <v>75</v>
      </c>
      <c r="F15" s="29">
        <f>'Вводная информация (1,2)'!F43</f>
        <v>0</v>
      </c>
      <c r="H15" s="36">
        <f t="shared" si="1"/>
        <v>0</v>
      </c>
      <c r="I15" s="53"/>
      <c r="N15" s="29">
        <f>F15*'Вводная информация (1,2)'!J43</f>
        <v>0</v>
      </c>
    </row>
    <row r="16" spans="1:14">
      <c r="A16" s="73" t="s">
        <v>92</v>
      </c>
      <c r="B16" s="74" t="s">
        <v>101</v>
      </c>
      <c r="D16" s="73" t="s">
        <v>75</v>
      </c>
      <c r="F16" s="29">
        <f>'Вводная информация (1,2)'!F44</f>
        <v>0</v>
      </c>
      <c r="H16" s="36">
        <f t="shared" si="1"/>
        <v>0</v>
      </c>
      <c r="I16" s="53"/>
      <c r="N16" s="29">
        <f>F16*'Вводная информация (1,2)'!J44</f>
        <v>0</v>
      </c>
    </row>
    <row r="17" spans="1:14">
      <c r="A17" s="73" t="s">
        <v>93</v>
      </c>
      <c r="B17" s="74" t="s">
        <v>102</v>
      </c>
      <c r="D17" s="73" t="s">
        <v>75</v>
      </c>
      <c r="F17" s="29">
        <f>'Вводная информация (1,2)'!F45</f>
        <v>0</v>
      </c>
      <c r="H17" s="36">
        <f t="shared" si="1"/>
        <v>0</v>
      </c>
      <c r="I17" s="53"/>
      <c r="N17" s="29">
        <f>F17*'Вводная информация (1,2)'!J45</f>
        <v>0</v>
      </c>
    </row>
    <row r="18" spans="1:14">
      <c r="A18" s="73" t="s">
        <v>94</v>
      </c>
      <c r="B18" s="74" t="s">
        <v>103</v>
      </c>
      <c r="D18" s="73" t="s">
        <v>75</v>
      </c>
      <c r="F18" s="29">
        <f>'Вводная информация (1,2)'!F46</f>
        <v>0</v>
      </c>
      <c r="H18" s="36">
        <f t="shared" si="1"/>
        <v>0</v>
      </c>
      <c r="I18" s="53"/>
      <c r="N18" s="29">
        <f>F18*'Вводная информация (1,2)'!J46</f>
        <v>0</v>
      </c>
    </row>
    <row r="19" spans="1:14">
      <c r="A19" s="75" t="s">
        <v>95</v>
      </c>
      <c r="B19" s="74" t="s">
        <v>106</v>
      </c>
      <c r="D19" s="73" t="s">
        <v>75</v>
      </c>
      <c r="F19" s="29">
        <f>'Вводная информация (1,2)'!F47</f>
        <v>0</v>
      </c>
      <c r="H19" s="36">
        <f t="shared" si="1"/>
        <v>0</v>
      </c>
      <c r="I19" s="53"/>
      <c r="N19" s="29">
        <f>F19*'Вводная информация (1,2)'!J47</f>
        <v>0</v>
      </c>
    </row>
    <row r="20" spans="1:14">
      <c r="A20" s="75" t="s">
        <v>111</v>
      </c>
      <c r="B20" s="74" t="s">
        <v>98</v>
      </c>
      <c r="D20" s="73" t="s">
        <v>75</v>
      </c>
      <c r="F20" s="29">
        <f>'Вводная информация (1,2)'!F48</f>
        <v>0</v>
      </c>
      <c r="H20" s="36">
        <f t="shared" si="1"/>
        <v>0</v>
      </c>
      <c r="I20" s="53"/>
      <c r="N20" s="29">
        <f>F20*'Вводная информация (1,2)'!J48</f>
        <v>0</v>
      </c>
    </row>
    <row r="21" spans="1:14" ht="34.5">
      <c r="A21" s="75" t="s">
        <v>112</v>
      </c>
      <c r="B21" s="74" t="s">
        <v>99</v>
      </c>
      <c r="D21" s="73" t="s">
        <v>75</v>
      </c>
      <c r="F21" s="29">
        <f>'Вводная информация (1,2)'!F49</f>
        <v>0</v>
      </c>
      <c r="H21" s="36">
        <f t="shared" si="1"/>
        <v>0</v>
      </c>
      <c r="I21" s="53"/>
      <c r="N21" s="29">
        <f>F21*'Вводная информация (1,2)'!J49</f>
        <v>0</v>
      </c>
    </row>
    <row r="22" spans="1:14">
      <c r="A22" s="75" t="s">
        <v>113</v>
      </c>
      <c r="B22" s="74" t="s">
        <v>123</v>
      </c>
      <c r="D22" s="73" t="s">
        <v>75</v>
      </c>
      <c r="F22" s="29">
        <f>'Вводная информация (1,2)'!F50</f>
        <v>0</v>
      </c>
      <c r="H22" s="36">
        <f t="shared" si="1"/>
        <v>0</v>
      </c>
      <c r="I22" s="53"/>
      <c r="N22" s="29">
        <f>F22*'Вводная информация (1,2)'!J50</f>
        <v>0</v>
      </c>
    </row>
    <row r="23" spans="1:14">
      <c r="A23" s="75" t="s">
        <v>114</v>
      </c>
      <c r="B23" s="74" t="s">
        <v>104</v>
      </c>
      <c r="D23" s="73" t="s">
        <v>75</v>
      </c>
      <c r="F23" s="29">
        <f>'Вводная информация (1,2)'!F51</f>
        <v>0</v>
      </c>
      <c r="H23" s="36">
        <f t="shared" si="1"/>
        <v>0</v>
      </c>
      <c r="I23" s="53"/>
      <c r="N23" s="29">
        <f>F23*'Вводная информация (1,2)'!J51</f>
        <v>0</v>
      </c>
    </row>
    <row r="24" spans="1:14">
      <c r="A24" s="75" t="s">
        <v>115</v>
      </c>
      <c r="B24" s="74" t="s">
        <v>105</v>
      </c>
      <c r="D24" s="73" t="s">
        <v>75</v>
      </c>
      <c r="F24" s="29">
        <f>'Вводная информация (1,2)'!F52</f>
        <v>0</v>
      </c>
      <c r="H24" s="36">
        <f t="shared" si="1"/>
        <v>0</v>
      </c>
      <c r="I24" s="53"/>
      <c r="N24" s="29">
        <f>F24*'Вводная информация (1,2)'!J52</f>
        <v>0</v>
      </c>
    </row>
    <row r="25" spans="1:14">
      <c r="A25" s="75" t="s">
        <v>116</v>
      </c>
      <c r="B25" s="74" t="s">
        <v>154</v>
      </c>
      <c r="D25" s="73" t="s">
        <v>75</v>
      </c>
      <c r="F25" s="29">
        <f>'Вводная информация (1,2)'!F53</f>
        <v>0</v>
      </c>
      <c r="H25" s="36">
        <f t="shared" si="1"/>
        <v>0</v>
      </c>
      <c r="I25" s="53"/>
      <c r="N25" s="29">
        <f>F25*'Вводная информация (1,2)'!J53</f>
        <v>0</v>
      </c>
    </row>
    <row r="26" spans="1:14">
      <c r="A26" s="75" t="s">
        <v>120</v>
      </c>
      <c r="B26" s="74" t="s">
        <v>107</v>
      </c>
      <c r="D26" s="73" t="s">
        <v>75</v>
      </c>
      <c r="F26" s="29">
        <f>'Вводная информация (1,2)'!F54</f>
        <v>0</v>
      </c>
      <c r="H26" s="36">
        <f t="shared" si="1"/>
        <v>0</v>
      </c>
      <c r="I26" s="53"/>
      <c r="N26" s="29">
        <f>F26*'Вводная информация (1,2)'!J54</f>
        <v>0</v>
      </c>
    </row>
    <row r="27" spans="1:14">
      <c r="A27" s="75" t="s">
        <v>121</v>
      </c>
      <c r="B27" s="74" t="s">
        <v>108</v>
      </c>
      <c r="D27" s="73" t="s">
        <v>75</v>
      </c>
      <c r="F27" s="29">
        <f>'Вводная информация (1,2)'!F55</f>
        <v>0</v>
      </c>
      <c r="H27" s="36">
        <f t="shared" si="1"/>
        <v>0</v>
      </c>
      <c r="I27" s="53"/>
      <c r="N27" s="29">
        <f>F27*'Вводная информация (1,2)'!J55</f>
        <v>0</v>
      </c>
    </row>
    <row r="28" spans="1:14">
      <c r="A28" s="73" t="s">
        <v>122</v>
      </c>
      <c r="B28" s="74" t="s">
        <v>109</v>
      </c>
      <c r="D28" s="73" t="s">
        <v>75</v>
      </c>
      <c r="F28" s="29">
        <f>'Вводная информация (1,2)'!F56</f>
        <v>0</v>
      </c>
      <c r="H28" s="36">
        <f t="shared" si="1"/>
        <v>0</v>
      </c>
      <c r="I28" s="53"/>
      <c r="N28" s="29">
        <f>F28*'Вводная информация (1,2)'!J56</f>
        <v>0</v>
      </c>
    </row>
    <row r="29" spans="1:14">
      <c r="A29" s="75" t="s">
        <v>124</v>
      </c>
      <c r="B29" s="74" t="s">
        <v>117</v>
      </c>
      <c r="D29" s="73" t="s">
        <v>75</v>
      </c>
      <c r="F29" s="29">
        <f>'Вводная информация (1,2)'!F57</f>
        <v>0</v>
      </c>
      <c r="H29" s="36">
        <f t="shared" si="1"/>
        <v>0</v>
      </c>
      <c r="I29" s="53"/>
      <c r="N29" s="29">
        <f>F29*'Вводная информация (1,2)'!J57</f>
        <v>0</v>
      </c>
    </row>
    <row r="30" spans="1:14">
      <c r="A30" s="75" t="s">
        <v>125</v>
      </c>
      <c r="B30" s="74" t="s">
        <v>118</v>
      </c>
      <c r="D30" s="73" t="s">
        <v>75</v>
      </c>
      <c r="F30" s="29">
        <f>'Вводная информация (1,2)'!F58</f>
        <v>0</v>
      </c>
      <c r="H30" s="36">
        <f t="shared" si="1"/>
        <v>0</v>
      </c>
      <c r="I30" s="53"/>
      <c r="N30" s="29">
        <f>F30*'Вводная информация (1,2)'!J58</f>
        <v>0</v>
      </c>
    </row>
    <row r="31" spans="1:14">
      <c r="A31" s="75" t="s">
        <v>134</v>
      </c>
      <c r="B31" s="74" t="s">
        <v>119</v>
      </c>
      <c r="D31" s="73" t="s">
        <v>75</v>
      </c>
      <c r="F31" s="29">
        <f>'Вводная информация (1,2)'!F59</f>
        <v>0</v>
      </c>
      <c r="H31" s="36">
        <f t="shared" si="1"/>
        <v>0</v>
      </c>
      <c r="I31" s="53"/>
      <c r="N31" s="29">
        <f>F31*'Вводная информация (1,2)'!J59</f>
        <v>0</v>
      </c>
    </row>
    <row r="32" spans="1:14">
      <c r="A32" s="75" t="s">
        <v>135</v>
      </c>
      <c r="B32" s="74" t="s">
        <v>126</v>
      </c>
      <c r="D32" s="73" t="s">
        <v>75</v>
      </c>
      <c r="F32" s="29">
        <f>'Вводная информация (1,2)'!F60</f>
        <v>0</v>
      </c>
      <c r="H32" s="36">
        <f t="shared" si="1"/>
        <v>0</v>
      </c>
      <c r="I32" s="53"/>
      <c r="N32" s="29">
        <f>F32*'Вводная информация (1,2)'!J60</f>
        <v>0</v>
      </c>
    </row>
    <row r="33" spans="1:14">
      <c r="A33" s="75" t="s">
        <v>136</v>
      </c>
      <c r="B33" s="74" t="s">
        <v>127</v>
      </c>
      <c r="D33" s="73" t="s">
        <v>75</v>
      </c>
      <c r="F33" s="29">
        <f>'Вводная информация (1,2)'!F61*0</f>
        <v>0</v>
      </c>
      <c r="H33" s="36">
        <f t="shared" si="1"/>
        <v>0</v>
      </c>
      <c r="I33" s="53"/>
      <c r="N33" s="29">
        <f>F33*'Вводная информация (1,2)'!J61</f>
        <v>0</v>
      </c>
    </row>
    <row r="34" spans="1:14">
      <c r="A34" s="75" t="s">
        <v>137</v>
      </c>
      <c r="B34" s="26" t="s">
        <v>190</v>
      </c>
      <c r="D34" s="73" t="s">
        <v>75</v>
      </c>
      <c r="F34" s="29">
        <f>'Вводная информация (1,2)'!F62</f>
        <v>0</v>
      </c>
      <c r="H34" s="36">
        <f t="shared" si="1"/>
        <v>0</v>
      </c>
      <c r="I34" s="53"/>
      <c r="N34" s="29">
        <f>F34*'Вводная информация (1,2)'!J62</f>
        <v>0</v>
      </c>
    </row>
    <row r="35" spans="1:14">
      <c r="A35" s="75" t="s">
        <v>138</v>
      </c>
      <c r="B35" s="74" t="s">
        <v>128</v>
      </c>
      <c r="D35" s="73" t="s">
        <v>75</v>
      </c>
      <c r="F35" s="29">
        <f>'Вводная информация (1,2)'!F63</f>
        <v>0</v>
      </c>
      <c r="H35" s="36">
        <f t="shared" si="1"/>
        <v>0</v>
      </c>
      <c r="I35" s="53"/>
      <c r="N35" s="29">
        <f>F35*'Вводная информация (1,2)'!J63</f>
        <v>0</v>
      </c>
    </row>
    <row r="36" spans="1:14">
      <c r="A36" s="73" t="s">
        <v>150</v>
      </c>
      <c r="B36" s="74" t="s">
        <v>129</v>
      </c>
      <c r="D36" s="73" t="s">
        <v>75</v>
      </c>
      <c r="F36" s="29">
        <f>'Вводная информация (1,2)'!F64</f>
        <v>0</v>
      </c>
      <c r="H36" s="36">
        <f t="shared" si="1"/>
        <v>0</v>
      </c>
      <c r="I36" s="53"/>
      <c r="N36" s="29">
        <f>F36*'Вводная информация (1,2)'!J64</f>
        <v>0</v>
      </c>
    </row>
    <row r="37" spans="1:14">
      <c r="A37" s="73" t="s">
        <v>153</v>
      </c>
      <c r="B37" s="74" t="s">
        <v>149</v>
      </c>
      <c r="D37" s="73" t="s">
        <v>75</v>
      </c>
      <c r="F37" s="29">
        <f>'Вводная информация (1,2)'!F65</f>
        <v>0</v>
      </c>
      <c r="H37" s="36">
        <f t="shared" si="1"/>
        <v>0</v>
      </c>
      <c r="I37" s="53"/>
      <c r="N37" s="29">
        <f>F37*'Вводная информация (1,2)'!J65</f>
        <v>0</v>
      </c>
    </row>
    <row r="38" spans="1:14">
      <c r="A38" s="73" t="s">
        <v>155</v>
      </c>
      <c r="B38" s="74" t="s">
        <v>110</v>
      </c>
      <c r="D38" s="73" t="s">
        <v>75</v>
      </c>
      <c r="F38" s="29">
        <f>'Вводная информация (1,2)'!F66</f>
        <v>0</v>
      </c>
      <c r="H38" s="36">
        <f t="shared" si="1"/>
        <v>0</v>
      </c>
      <c r="I38" s="53"/>
      <c r="N38" s="29">
        <f>F38*'Вводная информация (1,2)'!J66</f>
        <v>0</v>
      </c>
    </row>
    <row r="39" spans="1:14">
      <c r="A39" s="70">
        <v>3</v>
      </c>
      <c r="B39" s="71" t="s">
        <v>182</v>
      </c>
      <c r="C39" s="72"/>
      <c r="D39" s="70" t="s">
        <v>75</v>
      </c>
      <c r="E39" s="72"/>
      <c r="F39" s="33">
        <f>F5-F8</f>
        <v>0</v>
      </c>
      <c r="N39" s="33">
        <f>N5-N8</f>
        <v>0</v>
      </c>
    </row>
    <row r="40" spans="1:14">
      <c r="A40" s="70">
        <v>4</v>
      </c>
      <c r="B40" s="71" t="s">
        <v>183</v>
      </c>
      <c r="C40" s="72"/>
      <c r="D40" s="70" t="s">
        <v>75</v>
      </c>
      <c r="E40" s="72"/>
      <c r="F40" s="33" t="e">
        <f>N40</f>
        <v>#VALUE!</v>
      </c>
      <c r="N40" s="33" t="e">
        <f>MAX(N5*F2-N13,N5*F2*0.5)</f>
        <v>#VALUE!</v>
      </c>
    </row>
    <row r="41" spans="1:14">
      <c r="A41" s="70">
        <v>5</v>
      </c>
      <c r="B41" s="71" t="s">
        <v>139</v>
      </c>
      <c r="C41" s="72"/>
      <c r="D41" s="70" t="s">
        <v>75</v>
      </c>
      <c r="E41" s="72"/>
      <c r="F41" s="33" t="e">
        <f>F39-F40</f>
        <v>#VALUE!</v>
      </c>
      <c r="N41" s="33" t="e">
        <f>N39-N40</f>
        <v>#VALUE!</v>
      </c>
    </row>
    <row r="43" spans="1:14" ht="21">
      <c r="B43" s="67" t="s">
        <v>148</v>
      </c>
    </row>
    <row r="45" spans="1:14" ht="37.5">
      <c r="A45" s="76" t="s">
        <v>7</v>
      </c>
      <c r="B45" s="37" t="s">
        <v>53</v>
      </c>
      <c r="C45" s="77"/>
      <c r="D45" s="76" t="s">
        <v>86</v>
      </c>
      <c r="E45" s="77"/>
      <c r="F45" s="37" t="s">
        <v>194</v>
      </c>
      <c r="G45" s="78"/>
    </row>
    <row r="46" spans="1:14">
      <c r="A46" s="73">
        <v>1</v>
      </c>
      <c r="B46" s="81" t="s">
        <v>141</v>
      </c>
      <c r="D46" s="73" t="s">
        <v>61</v>
      </c>
      <c r="F46" s="82">
        <f>IFERROR(N41/N5,0)</f>
        <v>0</v>
      </c>
    </row>
    <row r="47" spans="1:14">
      <c r="A47" s="73">
        <v>2</v>
      </c>
      <c r="B47" s="81" t="s">
        <v>142</v>
      </c>
      <c r="D47" s="73" t="s">
        <v>61</v>
      </c>
      <c r="F47" s="82">
        <f>IFERROR(N41/N8,0)</f>
        <v>0</v>
      </c>
    </row>
    <row r="48" spans="1:14">
      <c r="A48" s="73">
        <v>3</v>
      </c>
      <c r="B48" s="81" t="s">
        <v>146</v>
      </c>
      <c r="D48" s="73" t="s">
        <v>61</v>
      </c>
      <c r="F48" s="82">
        <f>IFERROR(SUM(N33:N37,N40)/N5,0)</f>
        <v>0</v>
      </c>
    </row>
    <row r="49" spans="1:6">
      <c r="A49" s="73">
        <v>4</v>
      </c>
      <c r="B49" s="81" t="s">
        <v>193</v>
      </c>
      <c r="D49" s="73" t="s">
        <v>61</v>
      </c>
      <c r="F49" s="82">
        <f>IFERROR(N13/N5,0)</f>
        <v>0</v>
      </c>
    </row>
  </sheetData>
  <sheetProtection password="C7B9" sheet="1" objects="1" scenarios="1"/>
  <hyperlinks>
    <hyperlink ref="A2" location="'Реестр листов'!A1" display="назад"/>
  </hyperlinks>
  <pageMargins left="0.35433070866141736" right="0.31496062992125984" top="0.47244094488188981" bottom="0.47244094488188981" header="0.31496062992125984" footer="0.31496062992125984"/>
  <pageSetup paperSize="9" scale="56" orientation="landscape" r:id="rId1"/>
  <headerFooter scaleWithDoc="0">
    <oddHeader>&amp;LНалоговый калькулятор ЕНВД/УСНО/ОСНО/Патент&amp;R&amp;A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O49"/>
  <sheetViews>
    <sheetView showGridLines="0" tabSelected="1" workbookViewId="0">
      <selection activeCell="F8" sqref="F8"/>
    </sheetView>
  </sheetViews>
  <sheetFormatPr defaultColWidth="9.140625" defaultRowHeight="17.25" outlineLevelCol="1"/>
  <cols>
    <col min="1" max="1" width="7.5703125" style="65" customWidth="1"/>
    <col min="2" max="2" width="60.7109375" style="65" customWidth="1"/>
    <col min="3" max="3" width="0.7109375" style="65" customWidth="1"/>
    <col min="4" max="4" width="16.85546875" style="65" customWidth="1"/>
    <col min="5" max="5" width="0.7109375" style="65" customWidth="1"/>
    <col min="6" max="6" width="23.7109375" style="65" customWidth="1"/>
    <col min="7" max="7" width="0.7109375" style="65" customWidth="1"/>
    <col min="8" max="8" width="20.7109375" style="65" customWidth="1"/>
    <col min="9" max="9" width="0.5703125" style="65" customWidth="1"/>
    <col min="10" max="10" width="20.7109375" style="65" customWidth="1"/>
    <col min="11" max="11" width="0.5703125" style="65" customWidth="1"/>
    <col min="12" max="12" width="20.7109375" style="65" customWidth="1"/>
    <col min="13" max="13" width="0.7109375" style="65" customWidth="1"/>
    <col min="14" max="14" width="23.7109375" style="65" hidden="1" customWidth="1" outlineLevel="1"/>
    <col min="15" max="15" width="29.42578125" style="65" bestFit="1" customWidth="1" collapsed="1"/>
    <col min="16" max="18" width="15.140625" style="65" customWidth="1"/>
    <col min="19" max="16384" width="9.140625" style="65"/>
  </cols>
  <sheetData>
    <row r="1" spans="1:14" ht="26.25">
      <c r="B1" s="66" t="s">
        <v>185</v>
      </c>
    </row>
    <row r="2" spans="1:14" ht="21">
      <c r="A2" s="150" t="s">
        <v>327</v>
      </c>
      <c r="B2" s="67" t="s">
        <v>84</v>
      </c>
      <c r="D2" s="80" t="s">
        <v>184</v>
      </c>
      <c r="F2" s="79" t="e">
        <f>IF('Вводная информация (1,2)'!D10=Библиотеки!A11,'Вводная информация (1,2)'!H24,VLOOKUP('Вводная информация (1,2)'!D10,Библиотеки!$A$10:$G$13,7))</f>
        <v>#N/A</v>
      </c>
    </row>
    <row r="4" spans="1:14" ht="18.75">
      <c r="A4" s="68" t="s">
        <v>7</v>
      </c>
      <c r="B4" s="68" t="s">
        <v>53</v>
      </c>
      <c r="C4" s="69"/>
      <c r="D4" s="68" t="s">
        <v>86</v>
      </c>
      <c r="E4" s="69"/>
      <c r="F4" s="68" t="s">
        <v>143</v>
      </c>
      <c r="G4" s="69"/>
      <c r="H4" s="68" t="s">
        <v>140</v>
      </c>
      <c r="N4" s="68" t="s">
        <v>192</v>
      </c>
    </row>
    <row r="5" spans="1:14">
      <c r="A5" s="70">
        <v>1</v>
      </c>
      <c r="B5" s="71" t="s">
        <v>85</v>
      </c>
      <c r="C5" s="72"/>
      <c r="D5" s="70" t="s">
        <v>75</v>
      </c>
      <c r="E5" s="72"/>
      <c r="F5" s="33">
        <f>SUM(F6:F7)</f>
        <v>0</v>
      </c>
      <c r="H5" s="35">
        <f>IFERROR(F5/$F$5,0)</f>
        <v>0</v>
      </c>
      <c r="N5" s="33">
        <f>SUM(N6:N7)</f>
        <v>0</v>
      </c>
    </row>
    <row r="6" spans="1:14">
      <c r="A6" s="73" t="s">
        <v>130</v>
      </c>
      <c r="B6" s="74" t="s">
        <v>132</v>
      </c>
      <c r="D6" s="73" t="s">
        <v>75</v>
      </c>
      <c r="F6" s="29">
        <f>'Вводная информация (1,2)'!F34</f>
        <v>0</v>
      </c>
      <c r="H6" s="36">
        <f t="shared" ref="H6:H7" si="0">IFERROR(F6/$F$5,0)</f>
        <v>0</v>
      </c>
      <c r="N6" s="29">
        <f>F6*'Вводная информация (1,2)'!J34</f>
        <v>0</v>
      </c>
    </row>
    <row r="7" spans="1:14" ht="34.5">
      <c r="A7" s="73" t="s">
        <v>131</v>
      </c>
      <c r="B7" s="74" t="s">
        <v>133</v>
      </c>
      <c r="D7" s="73" t="s">
        <v>75</v>
      </c>
      <c r="F7" s="29">
        <f>'Вводная информация (1,2)'!F35</f>
        <v>0</v>
      </c>
      <c r="H7" s="36">
        <f t="shared" si="0"/>
        <v>0</v>
      </c>
      <c r="I7" s="53"/>
      <c r="N7" s="29">
        <f>F7*'Вводная информация (1,2)'!J35</f>
        <v>0</v>
      </c>
    </row>
    <row r="8" spans="1:14">
      <c r="A8" s="70">
        <v>2</v>
      </c>
      <c r="B8" s="71" t="s">
        <v>87</v>
      </c>
      <c r="C8" s="72"/>
      <c r="D8" s="70" t="s">
        <v>75</v>
      </c>
      <c r="E8" s="72"/>
      <c r="F8" s="33">
        <f>SUM(F9:F38)</f>
        <v>0</v>
      </c>
      <c r="H8" s="35">
        <f>IFERROR(F8/$F$8,0)</f>
        <v>0</v>
      </c>
      <c r="I8" s="52"/>
      <c r="N8" s="33">
        <f>SUM(N9:N38)</f>
        <v>0</v>
      </c>
    </row>
    <row r="9" spans="1:14" ht="34.5">
      <c r="A9" s="73" t="s">
        <v>2</v>
      </c>
      <c r="B9" s="26" t="s">
        <v>238</v>
      </c>
      <c r="D9" s="73" t="s">
        <v>75</v>
      </c>
      <c r="F9" s="29">
        <f>'Вводная информация (1,2)'!F37</f>
        <v>0</v>
      </c>
      <c r="H9" s="36">
        <f t="shared" ref="H9:H38" si="1">IFERROR(F9/$F$8,0)</f>
        <v>0</v>
      </c>
      <c r="I9" s="53"/>
      <c r="N9" s="29">
        <f>F9*'Вводная информация (1,2)'!J37</f>
        <v>0</v>
      </c>
    </row>
    <row r="10" spans="1:14">
      <c r="A10" s="73" t="s">
        <v>3</v>
      </c>
      <c r="B10" s="26" t="s">
        <v>237</v>
      </c>
      <c r="D10" s="73" t="s">
        <v>75</v>
      </c>
      <c r="F10" s="29">
        <f>'Вводная информация (1,2)'!F38</f>
        <v>0</v>
      </c>
      <c r="H10" s="36">
        <f t="shared" si="1"/>
        <v>0</v>
      </c>
      <c r="I10" s="53"/>
      <c r="N10" s="29">
        <f>F10*'Вводная информация (1,2)'!J38</f>
        <v>0</v>
      </c>
    </row>
    <row r="11" spans="1:14">
      <c r="A11" s="73" t="s">
        <v>4</v>
      </c>
      <c r="B11" s="74" t="s">
        <v>152</v>
      </c>
      <c r="D11" s="73" t="s">
        <v>75</v>
      </c>
      <c r="F11" s="29">
        <f>'Вводная информация (1,2)'!F39</f>
        <v>0</v>
      </c>
      <c r="H11" s="36">
        <f t="shared" si="1"/>
        <v>0</v>
      </c>
      <c r="I11" s="53"/>
      <c r="N11" s="29">
        <f>F11*'Вводная информация (1,2)'!J39</f>
        <v>0</v>
      </c>
    </row>
    <row r="12" spans="1:14">
      <c r="A12" s="73" t="s">
        <v>88</v>
      </c>
      <c r="B12" s="74" t="s">
        <v>179</v>
      </c>
      <c r="D12" s="73" t="s">
        <v>75</v>
      </c>
      <c r="F12" s="29">
        <f>'Вводная информация (1,2)'!F40</f>
        <v>0</v>
      </c>
      <c r="H12" s="36">
        <f t="shared" si="1"/>
        <v>0</v>
      </c>
      <c r="I12" s="53"/>
      <c r="N12" s="29">
        <f>F12*'Вводная информация (1,2)'!J40</f>
        <v>0</v>
      </c>
    </row>
    <row r="13" spans="1:14">
      <c r="A13" s="73" t="s">
        <v>89</v>
      </c>
      <c r="B13" s="74" t="s">
        <v>96</v>
      </c>
      <c r="D13" s="73" t="s">
        <v>75</v>
      </c>
      <c r="F13" s="29">
        <f>'Вводная информация (1,2)'!F41</f>
        <v>0</v>
      </c>
      <c r="H13" s="36">
        <f t="shared" si="1"/>
        <v>0</v>
      </c>
      <c r="I13" s="53"/>
      <c r="N13" s="29">
        <f>F13*'Вводная информация (1,2)'!J41</f>
        <v>0</v>
      </c>
    </row>
    <row r="14" spans="1:14">
      <c r="A14" s="73" t="s">
        <v>90</v>
      </c>
      <c r="B14" s="74" t="s">
        <v>97</v>
      </c>
      <c r="D14" s="73" t="s">
        <v>75</v>
      </c>
      <c r="F14" s="29">
        <f>'Вводная информация (1,2)'!F42</f>
        <v>0</v>
      </c>
      <c r="H14" s="36">
        <f t="shared" si="1"/>
        <v>0</v>
      </c>
      <c r="I14" s="53"/>
      <c r="N14" s="29">
        <f>F14*'Вводная информация (1,2)'!J42</f>
        <v>0</v>
      </c>
    </row>
    <row r="15" spans="1:14">
      <c r="A15" s="73" t="s">
        <v>91</v>
      </c>
      <c r="B15" s="74" t="s">
        <v>100</v>
      </c>
      <c r="D15" s="73" t="s">
        <v>75</v>
      </c>
      <c r="F15" s="29">
        <f>'Вводная информация (1,2)'!F43</f>
        <v>0</v>
      </c>
      <c r="H15" s="36">
        <f t="shared" si="1"/>
        <v>0</v>
      </c>
      <c r="I15" s="53"/>
      <c r="N15" s="29">
        <f>F15*'Вводная информация (1,2)'!J43</f>
        <v>0</v>
      </c>
    </row>
    <row r="16" spans="1:14">
      <c r="A16" s="73" t="s">
        <v>92</v>
      </c>
      <c r="B16" s="74" t="s">
        <v>101</v>
      </c>
      <c r="D16" s="73" t="s">
        <v>75</v>
      </c>
      <c r="F16" s="29">
        <f>'Вводная информация (1,2)'!F44</f>
        <v>0</v>
      </c>
      <c r="H16" s="36">
        <f t="shared" si="1"/>
        <v>0</v>
      </c>
      <c r="I16" s="53"/>
      <c r="N16" s="29">
        <f>F16*'Вводная информация (1,2)'!J44</f>
        <v>0</v>
      </c>
    </row>
    <row r="17" spans="1:14">
      <c r="A17" s="73" t="s">
        <v>93</v>
      </c>
      <c r="B17" s="74" t="s">
        <v>102</v>
      </c>
      <c r="D17" s="73" t="s">
        <v>75</v>
      </c>
      <c r="F17" s="29">
        <f>'Вводная информация (1,2)'!F45</f>
        <v>0</v>
      </c>
      <c r="H17" s="36">
        <f t="shared" si="1"/>
        <v>0</v>
      </c>
      <c r="I17" s="53"/>
      <c r="N17" s="29">
        <f>F17*'Вводная информация (1,2)'!J45</f>
        <v>0</v>
      </c>
    </row>
    <row r="18" spans="1:14">
      <c r="A18" s="73" t="s">
        <v>94</v>
      </c>
      <c r="B18" s="74" t="s">
        <v>103</v>
      </c>
      <c r="D18" s="73" t="s">
        <v>75</v>
      </c>
      <c r="F18" s="29">
        <f>'Вводная информация (1,2)'!F46</f>
        <v>0</v>
      </c>
      <c r="H18" s="36">
        <f t="shared" si="1"/>
        <v>0</v>
      </c>
      <c r="I18" s="53"/>
      <c r="N18" s="29">
        <f>F18*'Вводная информация (1,2)'!J46</f>
        <v>0</v>
      </c>
    </row>
    <row r="19" spans="1:14">
      <c r="A19" s="75" t="s">
        <v>95</v>
      </c>
      <c r="B19" s="74" t="s">
        <v>106</v>
      </c>
      <c r="D19" s="73" t="s">
        <v>75</v>
      </c>
      <c r="F19" s="29">
        <f>'Вводная информация (1,2)'!F47</f>
        <v>0</v>
      </c>
      <c r="H19" s="36">
        <f t="shared" si="1"/>
        <v>0</v>
      </c>
      <c r="I19" s="53"/>
      <c r="N19" s="29">
        <f>F19*'Вводная информация (1,2)'!J47</f>
        <v>0</v>
      </c>
    </row>
    <row r="20" spans="1:14">
      <c r="A20" s="75" t="s">
        <v>111</v>
      </c>
      <c r="B20" s="74" t="s">
        <v>98</v>
      </c>
      <c r="D20" s="73" t="s">
        <v>75</v>
      </c>
      <c r="F20" s="29">
        <f>'Вводная информация (1,2)'!F48</f>
        <v>0</v>
      </c>
      <c r="H20" s="36">
        <f t="shared" si="1"/>
        <v>0</v>
      </c>
      <c r="I20" s="53"/>
      <c r="N20" s="29">
        <f>F20*'Вводная информация (1,2)'!J48</f>
        <v>0</v>
      </c>
    </row>
    <row r="21" spans="1:14" ht="34.5">
      <c r="A21" s="75" t="s">
        <v>112</v>
      </c>
      <c r="B21" s="74" t="s">
        <v>99</v>
      </c>
      <c r="D21" s="73" t="s">
        <v>75</v>
      </c>
      <c r="F21" s="29">
        <f>'Вводная информация (1,2)'!F49</f>
        <v>0</v>
      </c>
      <c r="H21" s="36">
        <f t="shared" si="1"/>
        <v>0</v>
      </c>
      <c r="I21" s="53"/>
      <c r="N21" s="29">
        <f>F21*'Вводная информация (1,2)'!J49</f>
        <v>0</v>
      </c>
    </row>
    <row r="22" spans="1:14">
      <c r="A22" s="75" t="s">
        <v>113</v>
      </c>
      <c r="B22" s="74" t="s">
        <v>123</v>
      </c>
      <c r="D22" s="73" t="s">
        <v>75</v>
      </c>
      <c r="F22" s="29">
        <f>'Вводная информация (1,2)'!F50</f>
        <v>0</v>
      </c>
      <c r="H22" s="36">
        <f t="shared" si="1"/>
        <v>0</v>
      </c>
      <c r="I22" s="53"/>
      <c r="N22" s="29">
        <f>F22*'Вводная информация (1,2)'!J50</f>
        <v>0</v>
      </c>
    </row>
    <row r="23" spans="1:14">
      <c r="A23" s="75" t="s">
        <v>114</v>
      </c>
      <c r="B23" s="74" t="s">
        <v>104</v>
      </c>
      <c r="D23" s="73" t="s">
        <v>75</v>
      </c>
      <c r="F23" s="29">
        <f>'Вводная информация (1,2)'!F51</f>
        <v>0</v>
      </c>
      <c r="H23" s="36">
        <f t="shared" si="1"/>
        <v>0</v>
      </c>
      <c r="I23" s="53"/>
      <c r="N23" s="29">
        <f>F23*'Вводная информация (1,2)'!J51</f>
        <v>0</v>
      </c>
    </row>
    <row r="24" spans="1:14">
      <c r="A24" s="75" t="s">
        <v>115</v>
      </c>
      <c r="B24" s="74" t="s">
        <v>105</v>
      </c>
      <c r="D24" s="73" t="s">
        <v>75</v>
      </c>
      <c r="F24" s="29">
        <f>'Вводная информация (1,2)'!F52</f>
        <v>0</v>
      </c>
      <c r="H24" s="36">
        <f t="shared" si="1"/>
        <v>0</v>
      </c>
      <c r="I24" s="53"/>
      <c r="N24" s="29">
        <f>F24*'Вводная информация (1,2)'!J52</f>
        <v>0</v>
      </c>
    </row>
    <row r="25" spans="1:14">
      <c r="A25" s="75" t="s">
        <v>116</v>
      </c>
      <c r="B25" s="74" t="s">
        <v>154</v>
      </c>
      <c r="D25" s="73" t="s">
        <v>75</v>
      </c>
      <c r="F25" s="29">
        <f>'Вводная информация (1,2)'!F53</f>
        <v>0</v>
      </c>
      <c r="H25" s="36">
        <f t="shared" si="1"/>
        <v>0</v>
      </c>
      <c r="I25" s="53"/>
      <c r="N25" s="29">
        <f>F25*'Вводная информация (1,2)'!J53</f>
        <v>0</v>
      </c>
    </row>
    <row r="26" spans="1:14">
      <c r="A26" s="75" t="s">
        <v>120</v>
      </c>
      <c r="B26" s="74" t="s">
        <v>107</v>
      </c>
      <c r="D26" s="73" t="s">
        <v>75</v>
      </c>
      <c r="F26" s="29">
        <f>'Вводная информация (1,2)'!F54</f>
        <v>0</v>
      </c>
      <c r="H26" s="36">
        <f t="shared" si="1"/>
        <v>0</v>
      </c>
      <c r="I26" s="53"/>
      <c r="N26" s="29">
        <f>F26*'Вводная информация (1,2)'!J54</f>
        <v>0</v>
      </c>
    </row>
    <row r="27" spans="1:14">
      <c r="A27" s="75" t="s">
        <v>121</v>
      </c>
      <c r="B27" s="74" t="s">
        <v>108</v>
      </c>
      <c r="D27" s="73" t="s">
        <v>75</v>
      </c>
      <c r="F27" s="29">
        <f>'Вводная информация (1,2)'!F55</f>
        <v>0</v>
      </c>
      <c r="H27" s="36">
        <f t="shared" si="1"/>
        <v>0</v>
      </c>
      <c r="I27" s="53"/>
      <c r="N27" s="29">
        <f>F27*'Вводная информация (1,2)'!J55</f>
        <v>0</v>
      </c>
    </row>
    <row r="28" spans="1:14">
      <c r="A28" s="73" t="s">
        <v>122</v>
      </c>
      <c r="B28" s="74" t="s">
        <v>109</v>
      </c>
      <c r="D28" s="73" t="s">
        <v>75</v>
      </c>
      <c r="F28" s="29">
        <f>'Вводная информация (1,2)'!F56</f>
        <v>0</v>
      </c>
      <c r="H28" s="36">
        <f t="shared" si="1"/>
        <v>0</v>
      </c>
      <c r="I28" s="53"/>
      <c r="N28" s="29">
        <f>F28*'Вводная информация (1,2)'!J56</f>
        <v>0</v>
      </c>
    </row>
    <row r="29" spans="1:14">
      <c r="A29" s="75" t="s">
        <v>124</v>
      </c>
      <c r="B29" s="74" t="s">
        <v>117</v>
      </c>
      <c r="D29" s="73" t="s">
        <v>75</v>
      </c>
      <c r="F29" s="29">
        <f>'Вводная информация (1,2)'!F57</f>
        <v>0</v>
      </c>
      <c r="H29" s="36">
        <f t="shared" si="1"/>
        <v>0</v>
      </c>
      <c r="I29" s="53"/>
      <c r="N29" s="29">
        <f>F29*'Вводная информация (1,2)'!J57</f>
        <v>0</v>
      </c>
    </row>
    <row r="30" spans="1:14">
      <c r="A30" s="75" t="s">
        <v>125</v>
      </c>
      <c r="B30" s="74" t="s">
        <v>118</v>
      </c>
      <c r="D30" s="73" t="s">
        <v>75</v>
      </c>
      <c r="F30" s="29">
        <f>'Вводная информация (1,2)'!F58</f>
        <v>0</v>
      </c>
      <c r="H30" s="36">
        <f t="shared" si="1"/>
        <v>0</v>
      </c>
      <c r="I30" s="53"/>
      <c r="N30" s="29">
        <f>F30*'Вводная информация (1,2)'!J58</f>
        <v>0</v>
      </c>
    </row>
    <row r="31" spans="1:14">
      <c r="A31" s="75" t="s">
        <v>134</v>
      </c>
      <c r="B31" s="74" t="s">
        <v>119</v>
      </c>
      <c r="D31" s="73" t="s">
        <v>75</v>
      </c>
      <c r="F31" s="29">
        <f>'Вводная информация (1,2)'!F59</f>
        <v>0</v>
      </c>
      <c r="H31" s="36">
        <f t="shared" si="1"/>
        <v>0</v>
      </c>
      <c r="I31" s="53"/>
      <c r="N31" s="29">
        <f>F31*'Вводная информация (1,2)'!J59</f>
        <v>0</v>
      </c>
    </row>
    <row r="32" spans="1:14">
      <c r="A32" s="75" t="s">
        <v>135</v>
      </c>
      <c r="B32" s="74" t="s">
        <v>126</v>
      </c>
      <c r="D32" s="73" t="s">
        <v>75</v>
      </c>
      <c r="F32" s="29">
        <f>'Вводная информация (1,2)'!F60</f>
        <v>0</v>
      </c>
      <c r="H32" s="36">
        <f t="shared" si="1"/>
        <v>0</v>
      </c>
      <c r="I32" s="53"/>
      <c r="N32" s="29">
        <f>F32*'Вводная информация (1,2)'!J60</f>
        <v>0</v>
      </c>
    </row>
    <row r="33" spans="1:14">
      <c r="A33" s="75" t="s">
        <v>136</v>
      </c>
      <c r="B33" s="74" t="s">
        <v>127</v>
      </c>
      <c r="D33" s="73" t="s">
        <v>75</v>
      </c>
      <c r="F33" s="29">
        <f>'Вводная информация (1,2)'!F61*0</f>
        <v>0</v>
      </c>
      <c r="H33" s="36">
        <f t="shared" si="1"/>
        <v>0</v>
      </c>
      <c r="I33" s="53"/>
      <c r="N33" s="29">
        <f>F33*'Вводная информация (1,2)'!J61</f>
        <v>0</v>
      </c>
    </row>
    <row r="34" spans="1:14">
      <c r="A34" s="75" t="s">
        <v>137</v>
      </c>
      <c r="B34" s="26" t="s">
        <v>190</v>
      </c>
      <c r="D34" s="73" t="s">
        <v>75</v>
      </c>
      <c r="F34" s="29">
        <f>'Вводная информация (1,2)'!F62</f>
        <v>0</v>
      </c>
      <c r="H34" s="36">
        <f t="shared" si="1"/>
        <v>0</v>
      </c>
      <c r="I34" s="53"/>
      <c r="N34" s="29">
        <f>F34*'Вводная информация (1,2)'!J62</f>
        <v>0</v>
      </c>
    </row>
    <row r="35" spans="1:14">
      <c r="A35" s="75" t="s">
        <v>138</v>
      </c>
      <c r="B35" s="74" t="s">
        <v>128</v>
      </c>
      <c r="D35" s="73" t="s">
        <v>75</v>
      </c>
      <c r="F35" s="29">
        <f>'Вводная информация (1,2)'!F63</f>
        <v>0</v>
      </c>
      <c r="H35" s="36">
        <f t="shared" si="1"/>
        <v>0</v>
      </c>
      <c r="I35" s="53"/>
      <c r="N35" s="29">
        <f>F35*'Вводная информация (1,2)'!J63</f>
        <v>0</v>
      </c>
    </row>
    <row r="36" spans="1:14">
      <c r="A36" s="73" t="s">
        <v>150</v>
      </c>
      <c r="B36" s="74" t="s">
        <v>129</v>
      </c>
      <c r="D36" s="73" t="s">
        <v>75</v>
      </c>
      <c r="F36" s="29">
        <f>'Вводная информация (1,2)'!F64</f>
        <v>0</v>
      </c>
      <c r="H36" s="36">
        <f t="shared" si="1"/>
        <v>0</v>
      </c>
      <c r="I36" s="53"/>
      <c r="N36" s="29">
        <f>F36*'Вводная информация (1,2)'!J64</f>
        <v>0</v>
      </c>
    </row>
    <row r="37" spans="1:14">
      <c r="A37" s="73" t="s">
        <v>153</v>
      </c>
      <c r="B37" s="74" t="s">
        <v>149</v>
      </c>
      <c r="D37" s="73" t="s">
        <v>75</v>
      </c>
      <c r="F37" s="29">
        <f>'Вводная информация (1,2)'!F65</f>
        <v>0</v>
      </c>
      <c r="H37" s="36">
        <f t="shared" si="1"/>
        <v>0</v>
      </c>
      <c r="I37" s="53"/>
      <c r="N37" s="29">
        <f>F37*'Вводная информация (1,2)'!J65</f>
        <v>0</v>
      </c>
    </row>
    <row r="38" spans="1:14">
      <c r="A38" s="73" t="s">
        <v>155</v>
      </c>
      <c r="B38" s="74" t="s">
        <v>110</v>
      </c>
      <c r="D38" s="73" t="s">
        <v>75</v>
      </c>
      <c r="F38" s="29">
        <f>'Вводная информация (1,2)'!F66</f>
        <v>0</v>
      </c>
      <c r="H38" s="36">
        <f t="shared" si="1"/>
        <v>0</v>
      </c>
      <c r="I38" s="53"/>
      <c r="N38" s="29">
        <f>F38*'Вводная информация (1,2)'!J66</f>
        <v>0</v>
      </c>
    </row>
    <row r="39" spans="1:14">
      <c r="A39" s="70">
        <v>3</v>
      </c>
      <c r="B39" s="71" t="s">
        <v>182</v>
      </c>
      <c r="C39" s="72"/>
      <c r="D39" s="70" t="s">
        <v>75</v>
      </c>
      <c r="E39" s="72"/>
      <c r="F39" s="33">
        <f>F5-F8</f>
        <v>0</v>
      </c>
      <c r="N39" s="33">
        <f>N5-N8</f>
        <v>0</v>
      </c>
    </row>
    <row r="40" spans="1:14">
      <c r="A40" s="70">
        <v>4</v>
      </c>
      <c r="B40" s="71" t="s">
        <v>183</v>
      </c>
      <c r="C40" s="72"/>
      <c r="D40" s="70" t="s">
        <v>75</v>
      </c>
      <c r="E40" s="72"/>
      <c r="F40" s="33" t="e">
        <f>N40</f>
        <v>#N/A</v>
      </c>
      <c r="N40" s="33" t="e">
        <f>MAX((N39+N14)*F2,N5*1%)</f>
        <v>#N/A</v>
      </c>
    </row>
    <row r="41" spans="1:14">
      <c r="A41" s="70">
        <v>5</v>
      </c>
      <c r="B41" s="71" t="s">
        <v>139</v>
      </c>
      <c r="C41" s="72"/>
      <c r="D41" s="70" t="s">
        <v>75</v>
      </c>
      <c r="E41" s="72"/>
      <c r="F41" s="33" t="e">
        <f>F39-F40</f>
        <v>#N/A</v>
      </c>
      <c r="N41" s="33" t="e">
        <f>N39-N40</f>
        <v>#N/A</v>
      </c>
    </row>
    <row r="43" spans="1:14" ht="21">
      <c r="B43" s="67" t="s">
        <v>148</v>
      </c>
    </row>
    <row r="45" spans="1:14" ht="18.75">
      <c r="A45" s="76" t="s">
        <v>7</v>
      </c>
      <c r="B45" s="76" t="s">
        <v>53</v>
      </c>
      <c r="C45" s="77"/>
      <c r="D45" s="76" t="s">
        <v>86</v>
      </c>
      <c r="E45" s="77"/>
      <c r="F45" s="76" t="s">
        <v>143</v>
      </c>
      <c r="G45" s="78"/>
    </row>
    <row r="46" spans="1:14">
      <c r="A46" s="83">
        <v>1</v>
      </c>
      <c r="B46" s="84" t="s">
        <v>141</v>
      </c>
      <c r="C46" s="85"/>
      <c r="D46" s="83" t="s">
        <v>61</v>
      </c>
      <c r="E46" s="85"/>
      <c r="F46" s="86">
        <f>IFERROR(N41/N5,0)</f>
        <v>0</v>
      </c>
      <c r="G46" s="85"/>
    </row>
    <row r="47" spans="1:14">
      <c r="A47" s="83">
        <v>2</v>
      </c>
      <c r="B47" s="84" t="s">
        <v>142</v>
      </c>
      <c r="C47" s="85"/>
      <c r="D47" s="83" t="s">
        <v>61</v>
      </c>
      <c r="E47" s="85"/>
      <c r="F47" s="86">
        <f>IFERROR(N41/N8,0)</f>
        <v>0</v>
      </c>
      <c r="G47" s="85"/>
    </row>
    <row r="48" spans="1:14">
      <c r="A48" s="83">
        <v>3</v>
      </c>
      <c r="B48" s="84" t="s">
        <v>146</v>
      </c>
      <c r="C48" s="85"/>
      <c r="D48" s="83" t="s">
        <v>61</v>
      </c>
      <c r="E48" s="85"/>
      <c r="F48" s="86">
        <f>IFERROR(SUM(N33:N37,N40)/N5,0)</f>
        <v>0</v>
      </c>
      <c r="G48" s="85"/>
    </row>
    <row r="49" spans="1:7">
      <c r="A49" s="83">
        <v>4</v>
      </c>
      <c r="B49" s="84" t="s">
        <v>147</v>
      </c>
      <c r="C49" s="85"/>
      <c r="D49" s="83" t="s">
        <v>61</v>
      </c>
      <c r="E49" s="85"/>
      <c r="F49" s="86">
        <f>IFERROR(N13/N5,0)</f>
        <v>0</v>
      </c>
      <c r="G49" s="85"/>
    </row>
  </sheetData>
  <sheetProtection password="C7B9" sheet="1" objects="1" scenarios="1"/>
  <hyperlinks>
    <hyperlink ref="A2" location="'Реестр листов'!A1" display="назад"/>
  </hyperlinks>
  <pageMargins left="0.35433070866141736" right="0.31496062992125984" top="0.47244094488188981" bottom="0.47244094488188981" header="0.31496062992125984" footer="0.31496062992125984"/>
  <pageSetup paperSize="9" scale="58" orientation="landscape" r:id="rId1"/>
  <headerFooter scaleWithDoc="0">
    <oddHeader>&amp;LНалоговый калькулятор ЕНВД/УСНО/ОСНО/Патент&amp;R&amp;A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S49"/>
  <sheetViews>
    <sheetView showGridLines="0" topLeftCell="B1" workbookViewId="0">
      <selection activeCell="Q16" sqref="Q16 N16"/>
    </sheetView>
  </sheetViews>
  <sheetFormatPr defaultColWidth="9.140625" defaultRowHeight="17.25" outlineLevelCol="1"/>
  <cols>
    <col min="1" max="1" width="7.5703125" style="65" customWidth="1"/>
    <col min="2" max="2" width="60.7109375" style="65" customWidth="1"/>
    <col min="3" max="3" width="0.7109375" style="65" customWidth="1"/>
    <col min="4" max="4" width="16.85546875" style="65" customWidth="1"/>
    <col min="5" max="5" width="0.7109375" style="65" customWidth="1"/>
    <col min="6" max="6" width="23.7109375" style="65" customWidth="1"/>
    <col min="7" max="7" width="0.7109375" style="65" customWidth="1"/>
    <col min="8" max="8" width="20.7109375" style="65" customWidth="1"/>
    <col min="9" max="9" width="0.5703125" style="65" customWidth="1"/>
    <col min="10" max="10" width="20.7109375" style="65" customWidth="1"/>
    <col min="11" max="11" width="0.5703125" style="65" customWidth="1"/>
    <col min="13" max="13" width="0.7109375" style="65" customWidth="1"/>
    <col min="14" max="17" width="20.7109375" style="65" hidden="1" customWidth="1" outlineLevel="1"/>
    <col min="18" max="18" width="15.140625" style="65" hidden="1" customWidth="1" outlineLevel="1"/>
    <col min="19" max="19" width="9.140625" style="65" collapsed="1"/>
    <col min="20" max="16384" width="9.140625" style="65"/>
  </cols>
  <sheetData>
    <row r="1" spans="1:18" ht="26.25">
      <c r="B1" s="66" t="s">
        <v>197</v>
      </c>
    </row>
    <row r="2" spans="1:18" ht="39.75" customHeight="1">
      <c r="A2" s="150" t="s">
        <v>327</v>
      </c>
      <c r="B2" s="67" t="s">
        <v>84</v>
      </c>
      <c r="D2" s="255" t="s">
        <v>212</v>
      </c>
      <c r="E2" s="255"/>
      <c r="F2" s="255"/>
      <c r="H2" s="36" t="str">
        <f>IFERROR(P6/Q6,"х")</f>
        <v>х</v>
      </c>
    </row>
    <row r="3" spans="1:18">
      <c r="P3" s="254" t="s">
        <v>199</v>
      </c>
      <c r="Q3" s="254"/>
    </row>
    <row r="4" spans="1:18" ht="37.5">
      <c r="A4" s="76" t="s">
        <v>7</v>
      </c>
      <c r="B4" s="76" t="s">
        <v>53</v>
      </c>
      <c r="C4" s="77"/>
      <c r="D4" s="76" t="s">
        <v>86</v>
      </c>
      <c r="E4" s="77"/>
      <c r="F4" s="76" t="s">
        <v>143</v>
      </c>
      <c r="G4" s="77"/>
      <c r="H4" s="76" t="s">
        <v>140</v>
      </c>
      <c r="N4" s="76" t="s">
        <v>347</v>
      </c>
      <c r="O4" s="76" t="s">
        <v>203</v>
      </c>
      <c r="P4" s="68" t="s">
        <v>200</v>
      </c>
      <c r="Q4" s="76" t="s">
        <v>323</v>
      </c>
      <c r="R4" s="76" t="s">
        <v>201</v>
      </c>
    </row>
    <row r="5" spans="1:18">
      <c r="A5" s="70">
        <v>1</v>
      </c>
      <c r="B5" s="71" t="s">
        <v>214</v>
      </c>
      <c r="C5" s="72"/>
      <c r="D5" s="70" t="s">
        <v>75</v>
      </c>
      <c r="E5" s="72"/>
      <c r="F5" s="33">
        <f>SUM(F6:F7)</f>
        <v>0</v>
      </c>
      <c r="H5" s="35">
        <f>IFERROR(F5/$F$5,0)</f>
        <v>0</v>
      </c>
      <c r="N5" s="33">
        <f>SUM(N6:N7)</f>
        <v>0</v>
      </c>
      <c r="O5" s="33">
        <f>SUM(O6:O7)</f>
        <v>0</v>
      </c>
      <c r="P5" s="33">
        <f>SUM(P6:P7)</f>
        <v>0</v>
      </c>
      <c r="Q5" s="33">
        <f>SUM(Q6:Q7)</f>
        <v>0</v>
      </c>
      <c r="R5" s="36">
        <f>IFERROR(P5/Q5,0)</f>
        <v>0</v>
      </c>
    </row>
    <row r="6" spans="1:18">
      <c r="A6" s="73" t="s">
        <v>130</v>
      </c>
      <c r="B6" s="74" t="s">
        <v>132</v>
      </c>
      <c r="D6" s="73" t="s">
        <v>75</v>
      </c>
      <c r="F6" s="29">
        <f>Q6+N6</f>
        <v>0</v>
      </c>
      <c r="H6" s="36">
        <f t="shared" ref="H6:H7" si="0">IFERROR(F6/$F$5,0)</f>
        <v>0</v>
      </c>
      <c r="N6" s="33">
        <f>'Вводная информация (1,2)'!F34-'Вводная информация (1,2)'!P34</f>
        <v>0</v>
      </c>
      <c r="O6" s="33">
        <f>'Вводная информация (1,2)'!P34</f>
        <v>0</v>
      </c>
      <c r="P6" s="29">
        <f>O6*('Вводная информация (1,2)'!$N$34/1.1*0.1+(1-'Вводная информация (1,2)'!$N$34)/1.2*0.2)</f>
        <v>0</v>
      </c>
      <c r="Q6" s="29">
        <f>O6-P6</f>
        <v>0</v>
      </c>
      <c r="R6" s="36">
        <f t="shared" ref="R6:R38" si="1">IFERROR(P6/Q6,0)</f>
        <v>0</v>
      </c>
    </row>
    <row r="7" spans="1:18" ht="34.5">
      <c r="A7" s="73" t="s">
        <v>131</v>
      </c>
      <c r="B7" s="74" t="s">
        <v>133</v>
      </c>
      <c r="D7" s="73" t="s">
        <v>75</v>
      </c>
      <c r="F7" s="29">
        <f>Q7+N7</f>
        <v>0</v>
      </c>
      <c r="H7" s="36">
        <f t="shared" si="0"/>
        <v>0</v>
      </c>
      <c r="I7" s="53"/>
      <c r="N7" s="33">
        <f>'Вводная информация (1,2)'!F35-'Вводная информация (1,2)'!P35</f>
        <v>0</v>
      </c>
      <c r="O7" s="33">
        <f>'Вводная информация (1,2)'!P35</f>
        <v>0</v>
      </c>
      <c r="P7" s="29">
        <f>O7/1.2*0.2</f>
        <v>0</v>
      </c>
      <c r="Q7" s="29">
        <f>O7-P7</f>
        <v>0</v>
      </c>
      <c r="R7" s="36">
        <f t="shared" si="1"/>
        <v>0</v>
      </c>
    </row>
    <row r="8" spans="1:18">
      <c r="A8" s="70">
        <v>2</v>
      </c>
      <c r="B8" s="71" t="s">
        <v>215</v>
      </c>
      <c r="C8" s="72"/>
      <c r="D8" s="70" t="s">
        <v>75</v>
      </c>
      <c r="E8" s="72"/>
      <c r="F8" s="33">
        <f>SUM(F9:F38)</f>
        <v>0</v>
      </c>
      <c r="H8" s="35">
        <f>IFERROR(F8/$F$8,0)</f>
        <v>0</v>
      </c>
      <c r="I8" s="52"/>
      <c r="N8" s="33">
        <f>SUM(N9:N38)</f>
        <v>0</v>
      </c>
      <c r="O8" s="33">
        <f>SUM(O9:O38)</f>
        <v>0</v>
      </c>
      <c r="P8" s="33">
        <f>SUM(P9:P38)</f>
        <v>0</v>
      </c>
      <c r="Q8" s="33">
        <f>SUM(Q9:Q38)</f>
        <v>0</v>
      </c>
      <c r="R8" s="36">
        <f t="shared" si="1"/>
        <v>0</v>
      </c>
    </row>
    <row r="9" spans="1:18" ht="34.5">
      <c r="A9" s="73" t="s">
        <v>2</v>
      </c>
      <c r="B9" s="26" t="s">
        <v>238</v>
      </c>
      <c r="D9" s="73" t="s">
        <v>75</v>
      </c>
      <c r="F9" s="29">
        <f t="shared" ref="F9:F40" si="2">Q9+N9</f>
        <v>0</v>
      </c>
      <c r="H9" s="36">
        <f t="shared" ref="H9:H38" si="3">IFERROR(F9/$F$8,0)</f>
        <v>0</v>
      </c>
      <c r="I9" s="53"/>
      <c r="N9" s="33">
        <f>'Вводная информация (1,2)'!F37-'Вводная информация (1,2)'!P37</f>
        <v>0</v>
      </c>
      <c r="O9" s="33">
        <f>'Вводная информация (1,2)'!P37</f>
        <v>0</v>
      </c>
      <c r="P9" s="29">
        <f>O9*'Вводная информация (1,2)'!L37*('Вводная информация (1,2)'!$N$34/1.1*0.1+(1-'Вводная информация (1,2)'!$N$34)/1.2*0.2)</f>
        <v>0</v>
      </c>
      <c r="Q9" s="29">
        <f>O9-P9</f>
        <v>0</v>
      </c>
      <c r="R9" s="36">
        <f t="shared" si="1"/>
        <v>0</v>
      </c>
    </row>
    <row r="10" spans="1:18">
      <c r="A10" s="73" t="s">
        <v>3</v>
      </c>
      <c r="B10" s="26" t="s">
        <v>237</v>
      </c>
      <c r="D10" s="73" t="s">
        <v>75</v>
      </c>
      <c r="F10" s="29">
        <f t="shared" si="2"/>
        <v>0</v>
      </c>
      <c r="H10" s="36">
        <f t="shared" si="3"/>
        <v>0</v>
      </c>
      <c r="I10" s="53"/>
      <c r="N10" s="33">
        <f>'Вводная информация (1,2)'!F38-'Вводная информация (1,2)'!P38</f>
        <v>0</v>
      </c>
      <c r="O10" s="33">
        <f>'Вводная информация (1,2)'!P38</f>
        <v>0</v>
      </c>
      <c r="P10" s="29">
        <f>O10*'Вводная информация (1,2)'!L38*('Вводная информация (1,2)'!$N$34/1.1*0.1+(1-'Вводная информация (1,2)'!$N$34)/1.2*0.2)</f>
        <v>0</v>
      </c>
      <c r="Q10" s="29">
        <f t="shared" ref="Q10:Q19" si="4">O10-P10</f>
        <v>0</v>
      </c>
      <c r="R10" s="36">
        <f t="shared" si="1"/>
        <v>0</v>
      </c>
    </row>
    <row r="11" spans="1:18">
      <c r="A11" s="73" t="s">
        <v>4</v>
      </c>
      <c r="B11" s="74" t="s">
        <v>152</v>
      </c>
      <c r="D11" s="73" t="s">
        <v>75</v>
      </c>
      <c r="F11" s="29">
        <f t="shared" si="2"/>
        <v>0</v>
      </c>
      <c r="H11" s="36">
        <f t="shared" si="3"/>
        <v>0</v>
      </c>
      <c r="I11" s="53"/>
      <c r="N11" s="33">
        <f>'Вводная информация (1,2)'!F39-'Вводная информация (1,2)'!P39</f>
        <v>0</v>
      </c>
      <c r="O11" s="33">
        <f>'Вводная информация (1,2)'!P39</f>
        <v>0</v>
      </c>
      <c r="P11" s="29">
        <f>O11*'Вводная информация (1,2)'!L39*('Вводная информация (1,2)'!$N$34/1.1*0.1+(1-'Вводная информация (1,2)'!$N$34)/1.2*0.2)</f>
        <v>0</v>
      </c>
      <c r="Q11" s="29">
        <f t="shared" si="4"/>
        <v>0</v>
      </c>
      <c r="R11" s="36">
        <f t="shared" si="1"/>
        <v>0</v>
      </c>
    </row>
    <row r="12" spans="1:18">
      <c r="A12" s="73" t="s">
        <v>88</v>
      </c>
      <c r="B12" s="74" t="s">
        <v>179</v>
      </c>
      <c r="D12" s="73" t="s">
        <v>75</v>
      </c>
      <c r="F12" s="29">
        <f t="shared" si="2"/>
        <v>0</v>
      </c>
      <c r="H12" s="36">
        <f t="shared" si="3"/>
        <v>0</v>
      </c>
      <c r="I12" s="53"/>
      <c r="N12" s="33">
        <f>'Вводная информация (1,2)'!F40-'Вводная информация (1,2)'!P40</f>
        <v>0</v>
      </c>
      <c r="O12" s="33">
        <f>'Вводная информация (1,2)'!P40</f>
        <v>0</v>
      </c>
      <c r="P12" s="29">
        <f>O12*'Вводная информация (1,2)'!L40*('Вводная информация (1,2)'!$N$34/1.1*0.1+(1-'Вводная информация (1,2)'!$N$34)/1.2*0.2)</f>
        <v>0</v>
      </c>
      <c r="Q12" s="29">
        <f t="shared" si="4"/>
        <v>0</v>
      </c>
      <c r="R12" s="36">
        <f t="shared" si="1"/>
        <v>0</v>
      </c>
    </row>
    <row r="13" spans="1:18">
      <c r="A13" s="73" t="s">
        <v>89</v>
      </c>
      <c r="B13" s="74" t="s">
        <v>96</v>
      </c>
      <c r="D13" s="73" t="s">
        <v>75</v>
      </c>
      <c r="F13" s="29">
        <f t="shared" si="2"/>
        <v>0</v>
      </c>
      <c r="H13" s="36">
        <f t="shared" si="3"/>
        <v>0</v>
      </c>
      <c r="I13" s="53"/>
      <c r="N13" s="33">
        <f>'Вводная информация (1,2)'!F41-'Вводная информация (1,2)'!P41</f>
        <v>0</v>
      </c>
      <c r="O13" s="33">
        <f>'Вводная информация (1,2)'!P41</f>
        <v>0</v>
      </c>
      <c r="P13" s="29">
        <f>O13*'Вводная информация (1,2)'!L41*('Вводная информация (1,2)'!$N$34/1.1*0.1+(1-'Вводная информация (1,2)'!$N$34)/1.2*0.2)</f>
        <v>0</v>
      </c>
      <c r="Q13" s="29">
        <f t="shared" si="4"/>
        <v>0</v>
      </c>
      <c r="R13" s="36">
        <f t="shared" si="1"/>
        <v>0</v>
      </c>
    </row>
    <row r="14" spans="1:18">
      <c r="A14" s="73" t="s">
        <v>90</v>
      </c>
      <c r="B14" s="74" t="s">
        <v>97</v>
      </c>
      <c r="D14" s="73" t="s">
        <v>75</v>
      </c>
      <c r="F14" s="29">
        <f t="shared" si="2"/>
        <v>0</v>
      </c>
      <c r="H14" s="36">
        <f t="shared" si="3"/>
        <v>0</v>
      </c>
      <c r="I14" s="53"/>
      <c r="N14" s="33">
        <f>'Вводная информация (1,2)'!F42-'Вводная информация (1,2)'!P42</f>
        <v>0</v>
      </c>
      <c r="O14" s="33">
        <f>'Вводная информация (1,2)'!P42</f>
        <v>0</v>
      </c>
      <c r="P14" s="29">
        <f>O14*'Вводная информация (1,2)'!L42*('Вводная информация (1,2)'!$N$34/1.1*0.1+(1-'Вводная информация (1,2)'!$N$34)/1.2*0.2)</f>
        <v>0</v>
      </c>
      <c r="Q14" s="29">
        <f t="shared" si="4"/>
        <v>0</v>
      </c>
      <c r="R14" s="36">
        <f t="shared" si="1"/>
        <v>0</v>
      </c>
    </row>
    <row r="15" spans="1:18">
      <c r="A15" s="73" t="s">
        <v>91</v>
      </c>
      <c r="B15" s="74" t="s">
        <v>100</v>
      </c>
      <c r="D15" s="73" t="s">
        <v>75</v>
      </c>
      <c r="F15" s="29">
        <f t="shared" si="2"/>
        <v>0</v>
      </c>
      <c r="H15" s="36">
        <f t="shared" si="3"/>
        <v>0</v>
      </c>
      <c r="I15" s="53"/>
      <c r="N15" s="33">
        <f>'Вводная информация (1,2)'!F43-'Вводная информация (1,2)'!P43</f>
        <v>0</v>
      </c>
      <c r="O15" s="33">
        <f>'Вводная информация (1,2)'!P43</f>
        <v>0</v>
      </c>
      <c r="P15" s="29">
        <f>O15*'Вводная информация (1,2)'!L43*('Вводная информация (1,2)'!$N$34/1.1*0.1+(1-'Вводная информация (1,2)'!$N$34)/1.2*0.2)</f>
        <v>0</v>
      </c>
      <c r="Q15" s="29">
        <f t="shared" si="4"/>
        <v>0</v>
      </c>
      <c r="R15" s="36">
        <f t="shared" si="1"/>
        <v>0</v>
      </c>
    </row>
    <row r="16" spans="1:18">
      <c r="A16" s="73" t="s">
        <v>92</v>
      </c>
      <c r="B16" s="74" t="s">
        <v>101</v>
      </c>
      <c r="D16" s="73" t="s">
        <v>75</v>
      </c>
      <c r="F16" s="29">
        <f t="shared" si="2"/>
        <v>0</v>
      </c>
      <c r="H16" s="36">
        <f t="shared" si="3"/>
        <v>0</v>
      </c>
      <c r="I16" s="53"/>
      <c r="N16" s="33">
        <f>'Вводная информация (1,2)'!F44-'Вводная информация (1,2)'!P44</f>
        <v>0</v>
      </c>
      <c r="O16" s="33">
        <f>'Вводная информация (1,2)'!P44</f>
        <v>0</v>
      </c>
      <c r="P16" s="29">
        <f>O16*'Вводная информация (1,2)'!L44*('Вводная информация (1,2)'!$N$34/1.1*0.1+(1-'Вводная информация (1,2)'!$N$34)/1.2*0.2)</f>
        <v>0</v>
      </c>
      <c r="Q16" s="29">
        <f t="shared" si="4"/>
        <v>0</v>
      </c>
      <c r="R16" s="36">
        <f t="shared" si="1"/>
        <v>0</v>
      </c>
    </row>
    <row r="17" spans="1:18">
      <c r="A17" s="73" t="s">
        <v>93</v>
      </c>
      <c r="B17" s="74" t="s">
        <v>102</v>
      </c>
      <c r="D17" s="73" t="s">
        <v>75</v>
      </c>
      <c r="F17" s="29">
        <f t="shared" si="2"/>
        <v>0</v>
      </c>
      <c r="H17" s="36">
        <f t="shared" si="3"/>
        <v>0</v>
      </c>
      <c r="I17" s="53"/>
      <c r="N17" s="33">
        <f>'Вводная информация (1,2)'!F45-'Вводная информация (1,2)'!P45</f>
        <v>0</v>
      </c>
      <c r="O17" s="33">
        <f>'Вводная информация (1,2)'!P45</f>
        <v>0</v>
      </c>
      <c r="P17" s="29">
        <f>O17*'Вводная информация (1,2)'!L45*('Вводная информация (1,2)'!$N$34/1.1*0.1+(1-'Вводная информация (1,2)'!$N$34)/1.2*0.2)</f>
        <v>0</v>
      </c>
      <c r="Q17" s="29">
        <f t="shared" si="4"/>
        <v>0</v>
      </c>
      <c r="R17" s="36">
        <f t="shared" si="1"/>
        <v>0</v>
      </c>
    </row>
    <row r="18" spans="1:18">
      <c r="A18" s="73" t="s">
        <v>94</v>
      </c>
      <c r="B18" s="74" t="s">
        <v>103</v>
      </c>
      <c r="D18" s="73" t="s">
        <v>75</v>
      </c>
      <c r="F18" s="29">
        <f t="shared" si="2"/>
        <v>0</v>
      </c>
      <c r="H18" s="36">
        <f t="shared" si="3"/>
        <v>0</v>
      </c>
      <c r="I18" s="53"/>
      <c r="N18" s="33">
        <f>'Вводная информация (1,2)'!F46-'Вводная информация (1,2)'!P46</f>
        <v>0</v>
      </c>
      <c r="O18" s="33">
        <f>'Вводная информация (1,2)'!P46</f>
        <v>0</v>
      </c>
      <c r="P18" s="29">
        <f>O18*'Вводная информация (1,2)'!L46*('Вводная информация (1,2)'!$N$34/1.1*0.1+(1-'Вводная информация (1,2)'!$N$34)/1.2*0.2)</f>
        <v>0</v>
      </c>
      <c r="Q18" s="29">
        <f t="shared" si="4"/>
        <v>0</v>
      </c>
      <c r="R18" s="36">
        <f t="shared" si="1"/>
        <v>0</v>
      </c>
    </row>
    <row r="19" spans="1:18">
      <c r="A19" s="75" t="s">
        <v>95</v>
      </c>
      <c r="B19" s="74" t="s">
        <v>106</v>
      </c>
      <c r="D19" s="73" t="s">
        <v>75</v>
      </c>
      <c r="F19" s="29">
        <f t="shared" si="2"/>
        <v>0</v>
      </c>
      <c r="H19" s="36">
        <f t="shared" si="3"/>
        <v>0</v>
      </c>
      <c r="I19" s="53"/>
      <c r="N19" s="33">
        <f>'Вводная информация (1,2)'!F47-'Вводная информация (1,2)'!P47</f>
        <v>0</v>
      </c>
      <c r="O19" s="33">
        <f>'Вводная информация (1,2)'!P47</f>
        <v>0</v>
      </c>
      <c r="P19" s="29">
        <f>O19*'Вводная информация (1,2)'!L47*('Вводная информация (1,2)'!$N$34/1.1*0.1+(1-'Вводная информация (1,2)'!$N$34)/1.2*0.2)</f>
        <v>0</v>
      </c>
      <c r="Q19" s="29">
        <f t="shared" si="4"/>
        <v>0</v>
      </c>
      <c r="R19" s="36">
        <f t="shared" si="1"/>
        <v>0</v>
      </c>
    </row>
    <row r="20" spans="1:18">
      <c r="A20" s="75" t="s">
        <v>111</v>
      </c>
      <c r="B20" s="74" t="s">
        <v>98</v>
      </c>
      <c r="D20" s="73" t="s">
        <v>75</v>
      </c>
      <c r="F20" s="29">
        <f t="shared" si="2"/>
        <v>0</v>
      </c>
      <c r="H20" s="36">
        <f t="shared" si="3"/>
        <v>0</v>
      </c>
      <c r="I20" s="53"/>
      <c r="N20" s="33">
        <f>'Вводная информация (1,2)'!F48-'Вводная информация (1,2)'!P48</f>
        <v>0</v>
      </c>
      <c r="O20" s="33">
        <f>'Вводная информация (1,2)'!P48</f>
        <v>0</v>
      </c>
      <c r="P20" s="29">
        <f>O20*'Вводная информация (1,2)'!L48*('Вводная информация (1,2)'!$N$34/1.1*0.1+(1-'Вводная информация (1,2)'!$N$34)/1.2*0.2)</f>
        <v>0</v>
      </c>
      <c r="Q20" s="29">
        <f t="shared" ref="Q20:Q38" si="5">O20-P20</f>
        <v>0</v>
      </c>
      <c r="R20" s="36">
        <f t="shared" si="1"/>
        <v>0</v>
      </c>
    </row>
    <row r="21" spans="1:18" ht="34.5">
      <c r="A21" s="75" t="s">
        <v>112</v>
      </c>
      <c r="B21" s="74" t="s">
        <v>99</v>
      </c>
      <c r="D21" s="73" t="s">
        <v>75</v>
      </c>
      <c r="F21" s="29">
        <f t="shared" si="2"/>
        <v>0</v>
      </c>
      <c r="H21" s="36">
        <f t="shared" si="3"/>
        <v>0</v>
      </c>
      <c r="I21" s="53"/>
      <c r="N21" s="33">
        <f>'Вводная информация (1,2)'!F49-'Вводная информация (1,2)'!P49</f>
        <v>0</v>
      </c>
      <c r="O21" s="33">
        <f>'Вводная информация (1,2)'!P49</f>
        <v>0</v>
      </c>
      <c r="P21" s="29">
        <f>O21*'Вводная информация (1,2)'!L49*('Вводная информация (1,2)'!$N$34/1.1*0.1+(1-'Вводная информация (1,2)'!$N$34)/1.2*0.2)</f>
        <v>0</v>
      </c>
      <c r="Q21" s="29">
        <f t="shared" si="5"/>
        <v>0</v>
      </c>
      <c r="R21" s="36">
        <f t="shared" si="1"/>
        <v>0</v>
      </c>
    </row>
    <row r="22" spans="1:18">
      <c r="A22" s="75" t="s">
        <v>113</v>
      </c>
      <c r="B22" s="74" t="s">
        <v>123</v>
      </c>
      <c r="D22" s="73" t="s">
        <v>75</v>
      </c>
      <c r="F22" s="29">
        <f t="shared" si="2"/>
        <v>0</v>
      </c>
      <c r="H22" s="36">
        <f t="shared" si="3"/>
        <v>0</v>
      </c>
      <c r="I22" s="53"/>
      <c r="N22" s="33">
        <f>'Вводная информация (1,2)'!F50-'Вводная информация (1,2)'!P50</f>
        <v>0</v>
      </c>
      <c r="O22" s="33">
        <f>'Вводная информация (1,2)'!P50</f>
        <v>0</v>
      </c>
      <c r="P22" s="29">
        <f>O22*'Вводная информация (1,2)'!L50*('Вводная информация (1,2)'!$N$34/1.1*0.1+(1-'Вводная информация (1,2)'!$N$34)/1.2*0.2)</f>
        <v>0</v>
      </c>
      <c r="Q22" s="29">
        <f t="shared" si="5"/>
        <v>0</v>
      </c>
      <c r="R22" s="36">
        <f t="shared" si="1"/>
        <v>0</v>
      </c>
    </row>
    <row r="23" spans="1:18">
      <c r="A23" s="75" t="s">
        <v>114</v>
      </c>
      <c r="B23" s="74" t="s">
        <v>104</v>
      </c>
      <c r="D23" s="73" t="s">
        <v>75</v>
      </c>
      <c r="F23" s="29">
        <f t="shared" si="2"/>
        <v>0</v>
      </c>
      <c r="H23" s="36">
        <f t="shared" si="3"/>
        <v>0</v>
      </c>
      <c r="I23" s="53"/>
      <c r="N23" s="33">
        <f>'Вводная информация (1,2)'!F51-'Вводная информация (1,2)'!P51</f>
        <v>0</v>
      </c>
      <c r="O23" s="33">
        <f>'Вводная информация (1,2)'!P51</f>
        <v>0</v>
      </c>
      <c r="P23" s="29">
        <f>O23*'Вводная информация (1,2)'!L51*('Вводная информация (1,2)'!$N$34/1.1*0.1+(1-'Вводная информация (1,2)'!$N$34)/1.2*0.2)</f>
        <v>0</v>
      </c>
      <c r="Q23" s="29">
        <f t="shared" si="5"/>
        <v>0</v>
      </c>
      <c r="R23" s="36">
        <f t="shared" si="1"/>
        <v>0</v>
      </c>
    </row>
    <row r="24" spans="1:18">
      <c r="A24" s="75" t="s">
        <v>115</v>
      </c>
      <c r="B24" s="74" t="s">
        <v>105</v>
      </c>
      <c r="D24" s="73" t="s">
        <v>75</v>
      </c>
      <c r="F24" s="29">
        <f t="shared" si="2"/>
        <v>0</v>
      </c>
      <c r="H24" s="36">
        <f t="shared" si="3"/>
        <v>0</v>
      </c>
      <c r="I24" s="53"/>
      <c r="N24" s="33">
        <f>'Вводная информация (1,2)'!F52-'Вводная информация (1,2)'!P52</f>
        <v>0</v>
      </c>
      <c r="O24" s="33">
        <f>'Вводная информация (1,2)'!P52</f>
        <v>0</v>
      </c>
      <c r="P24" s="29">
        <f>O24*'Вводная информация (1,2)'!L52*('Вводная информация (1,2)'!$N$34/1.1*0.1+(1-'Вводная информация (1,2)'!$N$34)/1.2*0.2)</f>
        <v>0</v>
      </c>
      <c r="Q24" s="29">
        <f t="shared" si="5"/>
        <v>0</v>
      </c>
      <c r="R24" s="36">
        <f t="shared" si="1"/>
        <v>0</v>
      </c>
    </row>
    <row r="25" spans="1:18">
      <c r="A25" s="75" t="s">
        <v>116</v>
      </c>
      <c r="B25" s="74" t="s">
        <v>154</v>
      </c>
      <c r="D25" s="73" t="s">
        <v>75</v>
      </c>
      <c r="F25" s="29">
        <f t="shared" si="2"/>
        <v>0</v>
      </c>
      <c r="H25" s="36">
        <f t="shared" si="3"/>
        <v>0</v>
      </c>
      <c r="I25" s="53"/>
      <c r="N25" s="33">
        <f>'Вводная информация (1,2)'!F53-'Вводная информация (1,2)'!P53</f>
        <v>0</v>
      </c>
      <c r="O25" s="33">
        <f>'Вводная информация (1,2)'!P53</f>
        <v>0</v>
      </c>
      <c r="P25" s="29">
        <f>O25*'Вводная информация (1,2)'!L53*('Вводная информация (1,2)'!$N$34/1.1*0.1+(1-'Вводная информация (1,2)'!$N$34)/1.2*0.2)</f>
        <v>0</v>
      </c>
      <c r="Q25" s="29">
        <f t="shared" si="5"/>
        <v>0</v>
      </c>
      <c r="R25" s="36">
        <f t="shared" si="1"/>
        <v>0</v>
      </c>
    </row>
    <row r="26" spans="1:18">
      <c r="A26" s="75" t="s">
        <v>120</v>
      </c>
      <c r="B26" s="74" t="s">
        <v>107</v>
      </c>
      <c r="D26" s="73" t="s">
        <v>75</v>
      </c>
      <c r="F26" s="29">
        <f t="shared" si="2"/>
        <v>0</v>
      </c>
      <c r="H26" s="36">
        <f t="shared" si="3"/>
        <v>0</v>
      </c>
      <c r="I26" s="53"/>
      <c r="N26" s="33">
        <f>'Вводная информация (1,2)'!F54-'Вводная информация (1,2)'!P54</f>
        <v>0</v>
      </c>
      <c r="O26" s="33">
        <f>'Вводная информация (1,2)'!P54</f>
        <v>0</v>
      </c>
      <c r="P26" s="29">
        <f>O26*'Вводная информация (1,2)'!L54*('Вводная информация (1,2)'!$N$34/1.1*0.1+(1-'Вводная информация (1,2)'!$N$34)/1.2*0.2)</f>
        <v>0</v>
      </c>
      <c r="Q26" s="29">
        <f t="shared" si="5"/>
        <v>0</v>
      </c>
      <c r="R26" s="36">
        <f t="shared" si="1"/>
        <v>0</v>
      </c>
    </row>
    <row r="27" spans="1:18">
      <c r="A27" s="75" t="s">
        <v>121</v>
      </c>
      <c r="B27" s="74" t="s">
        <v>108</v>
      </c>
      <c r="D27" s="73" t="s">
        <v>75</v>
      </c>
      <c r="F27" s="29">
        <f t="shared" si="2"/>
        <v>0</v>
      </c>
      <c r="H27" s="36">
        <f t="shared" si="3"/>
        <v>0</v>
      </c>
      <c r="I27" s="53"/>
      <c r="N27" s="33">
        <f>'Вводная информация (1,2)'!F55-'Вводная информация (1,2)'!P55</f>
        <v>0</v>
      </c>
      <c r="O27" s="33">
        <f>'Вводная информация (1,2)'!P55</f>
        <v>0</v>
      </c>
      <c r="P27" s="29">
        <f>O27*'Вводная информация (1,2)'!L55*('Вводная информация (1,2)'!$N$34/1.1*0.1+(1-'Вводная информация (1,2)'!$N$34)/1.2*0.2)</f>
        <v>0</v>
      </c>
      <c r="Q27" s="29">
        <f t="shared" si="5"/>
        <v>0</v>
      </c>
      <c r="R27" s="36">
        <f t="shared" si="1"/>
        <v>0</v>
      </c>
    </row>
    <row r="28" spans="1:18">
      <c r="A28" s="73" t="s">
        <v>122</v>
      </c>
      <c r="B28" s="74" t="s">
        <v>109</v>
      </c>
      <c r="D28" s="73" t="s">
        <v>75</v>
      </c>
      <c r="F28" s="29">
        <f t="shared" si="2"/>
        <v>0</v>
      </c>
      <c r="H28" s="36">
        <f t="shared" si="3"/>
        <v>0</v>
      </c>
      <c r="I28" s="53"/>
      <c r="N28" s="33">
        <f>'Вводная информация (1,2)'!F56-'Вводная информация (1,2)'!P56</f>
        <v>0</v>
      </c>
      <c r="O28" s="33">
        <f>'Вводная информация (1,2)'!P56</f>
        <v>0</v>
      </c>
      <c r="P28" s="29">
        <f>O28*'Вводная информация (1,2)'!L56*('Вводная информация (1,2)'!$N$34/1.1*0.1+(1-'Вводная информация (1,2)'!$N$34)/1.2*0.2)</f>
        <v>0</v>
      </c>
      <c r="Q28" s="29">
        <f t="shared" si="5"/>
        <v>0</v>
      </c>
      <c r="R28" s="36">
        <f t="shared" si="1"/>
        <v>0</v>
      </c>
    </row>
    <row r="29" spans="1:18">
      <c r="A29" s="75" t="s">
        <v>124</v>
      </c>
      <c r="B29" s="74" t="s">
        <v>117</v>
      </c>
      <c r="D29" s="73" t="s">
        <v>75</v>
      </c>
      <c r="F29" s="29">
        <f t="shared" si="2"/>
        <v>0</v>
      </c>
      <c r="H29" s="36">
        <f t="shared" si="3"/>
        <v>0</v>
      </c>
      <c r="I29" s="53"/>
      <c r="N29" s="33">
        <f>'Вводная информация (1,2)'!F57-'Вводная информация (1,2)'!P57</f>
        <v>0</v>
      </c>
      <c r="O29" s="33">
        <f>'Вводная информация (1,2)'!P57</f>
        <v>0</v>
      </c>
      <c r="P29" s="29">
        <f>O29*'Вводная информация (1,2)'!L57*('Вводная информация (1,2)'!$N$34/1.1*0.1+(1-'Вводная информация (1,2)'!$N$34)/1.2*0.2)</f>
        <v>0</v>
      </c>
      <c r="Q29" s="29">
        <f t="shared" si="5"/>
        <v>0</v>
      </c>
      <c r="R29" s="36">
        <f t="shared" si="1"/>
        <v>0</v>
      </c>
    </row>
    <row r="30" spans="1:18">
      <c r="A30" s="75" t="s">
        <v>125</v>
      </c>
      <c r="B30" s="74" t="s">
        <v>118</v>
      </c>
      <c r="D30" s="73" t="s">
        <v>75</v>
      </c>
      <c r="F30" s="29">
        <f t="shared" si="2"/>
        <v>0</v>
      </c>
      <c r="H30" s="36">
        <f t="shared" si="3"/>
        <v>0</v>
      </c>
      <c r="I30" s="53"/>
      <c r="N30" s="33">
        <f>'Вводная информация (1,2)'!F58-'Вводная информация (1,2)'!P58</f>
        <v>0</v>
      </c>
      <c r="O30" s="33">
        <f>'Вводная информация (1,2)'!P58</f>
        <v>0</v>
      </c>
      <c r="P30" s="29">
        <f>O30*'Вводная информация (1,2)'!L58*('Вводная информация (1,2)'!$N$34/1.1*0.1+(1-'Вводная информация (1,2)'!$N$34)/1.2*0.2)</f>
        <v>0</v>
      </c>
      <c r="Q30" s="29">
        <f t="shared" si="5"/>
        <v>0</v>
      </c>
      <c r="R30" s="36">
        <f t="shared" si="1"/>
        <v>0</v>
      </c>
    </row>
    <row r="31" spans="1:18">
      <c r="A31" s="75" t="s">
        <v>134</v>
      </c>
      <c r="B31" s="74" t="s">
        <v>119</v>
      </c>
      <c r="D31" s="73" t="s">
        <v>75</v>
      </c>
      <c r="F31" s="29">
        <f t="shared" si="2"/>
        <v>0</v>
      </c>
      <c r="H31" s="36">
        <f t="shared" si="3"/>
        <v>0</v>
      </c>
      <c r="I31" s="53"/>
      <c r="N31" s="33">
        <f>'Вводная информация (1,2)'!F59-'Вводная информация (1,2)'!P59</f>
        <v>0</v>
      </c>
      <c r="O31" s="33">
        <f>'Вводная информация (1,2)'!P59</f>
        <v>0</v>
      </c>
      <c r="P31" s="29">
        <f>O31*'Вводная информация (1,2)'!L59*('Вводная информация (1,2)'!$N$34/1.1*0.1+(1-'Вводная информация (1,2)'!$N$34)/1.2*0.2)</f>
        <v>0</v>
      </c>
      <c r="Q31" s="29">
        <f t="shared" si="5"/>
        <v>0</v>
      </c>
      <c r="R31" s="36">
        <f t="shared" si="1"/>
        <v>0</v>
      </c>
    </row>
    <row r="32" spans="1:18">
      <c r="A32" s="75" t="s">
        <v>135</v>
      </c>
      <c r="B32" s="74" t="s">
        <v>126</v>
      </c>
      <c r="D32" s="73" t="s">
        <v>75</v>
      </c>
      <c r="F32" s="29">
        <f t="shared" si="2"/>
        <v>0</v>
      </c>
      <c r="H32" s="36">
        <f t="shared" si="3"/>
        <v>0</v>
      </c>
      <c r="I32" s="53"/>
      <c r="N32" s="33">
        <f>'Вводная информация (1,2)'!F60-'Вводная информация (1,2)'!P60</f>
        <v>0</v>
      </c>
      <c r="O32" s="33">
        <f>'Вводная информация (1,2)'!P60</f>
        <v>0</v>
      </c>
      <c r="P32" s="29">
        <f>O32*'Вводная информация (1,2)'!L60*('Вводная информация (1,2)'!$N$34/1.1*0.1+(1-'Вводная информация (1,2)'!$N$34)/1.2*0.2)</f>
        <v>0</v>
      </c>
      <c r="Q32" s="29">
        <f t="shared" si="5"/>
        <v>0</v>
      </c>
      <c r="R32" s="36">
        <f t="shared" si="1"/>
        <v>0</v>
      </c>
    </row>
    <row r="33" spans="1:18">
      <c r="A33" s="75" t="s">
        <v>136</v>
      </c>
      <c r="B33" s="74" t="s">
        <v>127</v>
      </c>
      <c r="D33" s="73" t="s">
        <v>75</v>
      </c>
      <c r="F33" s="29">
        <f t="shared" si="2"/>
        <v>0</v>
      </c>
      <c r="H33" s="36">
        <f t="shared" si="3"/>
        <v>0</v>
      </c>
      <c r="I33" s="53"/>
      <c r="N33" s="33">
        <f>'Вводная информация (1,2)'!F61-'Вводная информация (1,2)'!P61</f>
        <v>0</v>
      </c>
      <c r="O33" s="33">
        <f>'Вводная информация (1,2)'!P61*0</f>
        <v>0</v>
      </c>
      <c r="P33" s="29">
        <f>O33*'Вводная информация (1,2)'!L61*('Вводная информация (1,2)'!$N$34/1.1*0.1+(1-'Вводная информация (1,2)'!$N$34)/1.2*0.2)</f>
        <v>0</v>
      </c>
      <c r="Q33" s="29">
        <f t="shared" si="5"/>
        <v>0</v>
      </c>
      <c r="R33" s="36">
        <f t="shared" si="1"/>
        <v>0</v>
      </c>
    </row>
    <row r="34" spans="1:18">
      <c r="A34" s="75" t="s">
        <v>137</v>
      </c>
      <c r="B34" s="26" t="s">
        <v>190</v>
      </c>
      <c r="D34" s="73" t="s">
        <v>75</v>
      </c>
      <c r="F34" s="29">
        <f t="shared" si="2"/>
        <v>0</v>
      </c>
      <c r="H34" s="36">
        <f t="shared" si="3"/>
        <v>0</v>
      </c>
      <c r="I34" s="53"/>
      <c r="N34" s="33">
        <f>'Вводная информация (1,2)'!F62-'Вводная информация (1,2)'!P62</f>
        <v>0</v>
      </c>
      <c r="O34" s="33">
        <f>'Вводная информация (1,2)'!P62</f>
        <v>0</v>
      </c>
      <c r="P34" s="29">
        <f>O34*'Вводная информация (1,2)'!L62*('Вводная информация (1,2)'!$N$34/1.1*0.1+(1-'Вводная информация (1,2)'!$N$34)/1.2*0.2)</f>
        <v>0</v>
      </c>
      <c r="Q34" s="29">
        <f t="shared" si="5"/>
        <v>0</v>
      </c>
      <c r="R34" s="36">
        <f t="shared" si="1"/>
        <v>0</v>
      </c>
    </row>
    <row r="35" spans="1:18">
      <c r="A35" s="75" t="s">
        <v>138</v>
      </c>
      <c r="B35" s="74" t="s">
        <v>128</v>
      </c>
      <c r="D35" s="73" t="s">
        <v>75</v>
      </c>
      <c r="F35" s="29">
        <f t="shared" si="2"/>
        <v>0</v>
      </c>
      <c r="H35" s="36">
        <f t="shared" si="3"/>
        <v>0</v>
      </c>
      <c r="I35" s="53"/>
      <c r="N35" s="33">
        <f>'Вводная информация (1,2)'!F63-'Вводная информация (1,2)'!P63</f>
        <v>0</v>
      </c>
      <c r="O35" s="33">
        <f>'Вводная информация (1,2)'!P63</f>
        <v>0</v>
      </c>
      <c r="P35" s="29">
        <f>O35*'Вводная информация (1,2)'!L63*('Вводная информация (1,2)'!$N$34/1.1*0.1+(1-'Вводная информация (1,2)'!$N$34)/1.2*0.2)</f>
        <v>0</v>
      </c>
      <c r="Q35" s="29">
        <f t="shared" si="5"/>
        <v>0</v>
      </c>
      <c r="R35" s="36">
        <f t="shared" si="1"/>
        <v>0</v>
      </c>
    </row>
    <row r="36" spans="1:18">
      <c r="A36" s="73" t="s">
        <v>150</v>
      </c>
      <c r="B36" s="74" t="s">
        <v>129</v>
      </c>
      <c r="D36" s="73" t="s">
        <v>75</v>
      </c>
      <c r="F36" s="29">
        <f t="shared" si="2"/>
        <v>0</v>
      </c>
      <c r="H36" s="36">
        <f t="shared" si="3"/>
        <v>0</v>
      </c>
      <c r="I36" s="53"/>
      <c r="N36" s="33">
        <f>'Вводная информация (1,2)'!F64-'Вводная информация (1,2)'!P64</f>
        <v>0</v>
      </c>
      <c r="O36" s="33">
        <f>'Вводная информация (1,2)'!P64</f>
        <v>0</v>
      </c>
      <c r="P36" s="29">
        <f>O36*'Вводная информация (1,2)'!L64*('Вводная информация (1,2)'!$N$34/1.1*0.1+(1-'Вводная информация (1,2)'!$N$34)/1.2*0.2)</f>
        <v>0</v>
      </c>
      <c r="Q36" s="29">
        <f t="shared" si="5"/>
        <v>0</v>
      </c>
      <c r="R36" s="36">
        <f t="shared" si="1"/>
        <v>0</v>
      </c>
    </row>
    <row r="37" spans="1:18">
      <c r="A37" s="73" t="s">
        <v>153</v>
      </c>
      <c r="B37" s="74" t="s">
        <v>149</v>
      </c>
      <c r="D37" s="73" t="s">
        <v>75</v>
      </c>
      <c r="F37" s="29">
        <f t="shared" si="2"/>
        <v>0</v>
      </c>
      <c r="H37" s="36">
        <f t="shared" si="3"/>
        <v>0</v>
      </c>
      <c r="I37" s="53"/>
      <c r="N37" s="33">
        <f>'Вводная информация (1,2)'!F65-'Вводная информация (1,2)'!P65</f>
        <v>0</v>
      </c>
      <c r="O37" s="33">
        <f>'Вводная информация (1,2)'!P65</f>
        <v>0</v>
      </c>
      <c r="P37" s="29">
        <f>O37*'Вводная информация (1,2)'!L65*('Вводная информация (1,2)'!$N$34/1.1*0.1+(1-'Вводная информация (1,2)'!$N$34)/1.2*0.2)</f>
        <v>0</v>
      </c>
      <c r="Q37" s="29">
        <f t="shared" si="5"/>
        <v>0</v>
      </c>
      <c r="R37" s="36">
        <f t="shared" si="1"/>
        <v>0</v>
      </c>
    </row>
    <row r="38" spans="1:18">
      <c r="A38" s="73" t="s">
        <v>155</v>
      </c>
      <c r="B38" s="74" t="s">
        <v>110</v>
      </c>
      <c r="D38" s="73" t="s">
        <v>75</v>
      </c>
      <c r="F38" s="29">
        <f t="shared" si="2"/>
        <v>0</v>
      </c>
      <c r="H38" s="36">
        <f t="shared" si="3"/>
        <v>0</v>
      </c>
      <c r="I38" s="53"/>
      <c r="N38" s="33">
        <f>'Вводная информация (1,2)'!F66-'Вводная информация (1,2)'!P66</f>
        <v>0</v>
      </c>
      <c r="O38" s="33">
        <f>'Вводная информация (1,2)'!P66</f>
        <v>0</v>
      </c>
      <c r="P38" s="29">
        <f>O38*'Вводная информация (1,2)'!L66*('Вводная информация (1,2)'!$N$34/1.1*0.1+(1-'Вводная информация (1,2)'!$N$34)/1.2*0.2)</f>
        <v>0</v>
      </c>
      <c r="Q38" s="29">
        <f t="shared" si="5"/>
        <v>0</v>
      </c>
      <c r="R38" s="36">
        <f t="shared" si="1"/>
        <v>0</v>
      </c>
    </row>
    <row r="39" spans="1:18">
      <c r="A39" s="70">
        <v>3</v>
      </c>
      <c r="B39" s="71" t="s">
        <v>182</v>
      </c>
      <c r="C39" s="72"/>
      <c r="D39" s="70" t="s">
        <v>75</v>
      </c>
      <c r="E39" s="72"/>
      <c r="F39" s="33">
        <f>F5-F8</f>
        <v>0</v>
      </c>
      <c r="N39" s="33">
        <f>N5-N8</f>
        <v>0</v>
      </c>
      <c r="O39" s="33">
        <f>O5-O8</f>
        <v>0</v>
      </c>
      <c r="P39" s="33">
        <f>P5-P8</f>
        <v>0</v>
      </c>
      <c r="Q39" s="33">
        <f>Q5-Q8</f>
        <v>0</v>
      </c>
    </row>
    <row r="40" spans="1:18">
      <c r="A40" s="70">
        <v>4</v>
      </c>
      <c r="B40" s="71" t="s">
        <v>198</v>
      </c>
      <c r="C40" s="72"/>
      <c r="D40" s="70" t="s">
        <v>75</v>
      </c>
      <c r="E40" s="72"/>
      <c r="F40" s="33">
        <f t="shared" si="2"/>
        <v>0</v>
      </c>
      <c r="N40" s="33">
        <v>0</v>
      </c>
      <c r="O40" s="33">
        <f>SUM(P40:Q40)</f>
        <v>0</v>
      </c>
      <c r="P40" s="33">
        <v>0</v>
      </c>
      <c r="Q40" s="33">
        <f>(MAX(Q39*0.2,0))</f>
        <v>0</v>
      </c>
    </row>
    <row r="41" spans="1:18">
      <c r="A41" s="70">
        <v>5</v>
      </c>
      <c r="B41" s="71" t="s">
        <v>139</v>
      </c>
      <c r="C41" s="72"/>
      <c r="D41" s="70" t="s">
        <v>75</v>
      </c>
      <c r="E41" s="72"/>
      <c r="F41" s="33">
        <f>F39-F40</f>
        <v>0</v>
      </c>
      <c r="N41" s="33">
        <f>N39-N40</f>
        <v>0</v>
      </c>
      <c r="O41" s="33">
        <f>O39-O40</f>
        <v>0</v>
      </c>
      <c r="P41" s="33">
        <f>P39-P40</f>
        <v>0</v>
      </c>
      <c r="Q41" s="33">
        <f>Q39-Q40</f>
        <v>0</v>
      </c>
    </row>
    <row r="43" spans="1:18" ht="21">
      <c r="B43" s="67" t="s">
        <v>148</v>
      </c>
    </row>
    <row r="45" spans="1:18" ht="18.75">
      <c r="A45" s="76" t="s">
        <v>7</v>
      </c>
      <c r="B45" s="76" t="s">
        <v>53</v>
      </c>
      <c r="C45" s="77"/>
      <c r="D45" s="76" t="s">
        <v>86</v>
      </c>
      <c r="E45" s="77"/>
      <c r="F45" s="76" t="s">
        <v>143</v>
      </c>
      <c r="G45" s="78"/>
    </row>
    <row r="46" spans="1:18">
      <c r="A46" s="83">
        <v>1</v>
      </c>
      <c r="B46" s="84" t="s">
        <v>141</v>
      </c>
      <c r="C46" s="85"/>
      <c r="D46" s="83" t="s">
        <v>61</v>
      </c>
      <c r="E46" s="85"/>
      <c r="F46" s="86">
        <f>IFERROR(F41/F5,0)</f>
        <v>0</v>
      </c>
      <c r="G46" s="85"/>
    </row>
    <row r="47" spans="1:18">
      <c r="A47" s="83">
        <v>2</v>
      </c>
      <c r="B47" s="84" t="s">
        <v>142</v>
      </c>
      <c r="C47" s="85"/>
      <c r="D47" s="83" t="s">
        <v>61</v>
      </c>
      <c r="E47" s="85"/>
      <c r="F47" s="86">
        <f>IFERROR(F41/F8,0)</f>
        <v>0</v>
      </c>
      <c r="G47" s="85"/>
    </row>
    <row r="48" spans="1:18">
      <c r="A48" s="83">
        <v>3</v>
      </c>
      <c r="B48" s="84" t="s">
        <v>146</v>
      </c>
      <c r="C48" s="85"/>
      <c r="D48" s="83" t="s">
        <v>61</v>
      </c>
      <c r="E48" s="85"/>
      <c r="F48" s="86">
        <f>IFERROR(SUM(F33:F37,F40,P41)/O5,0)</f>
        <v>0</v>
      </c>
      <c r="G48" s="85"/>
    </row>
    <row r="49" spans="1:7">
      <c r="A49" s="83">
        <v>4</v>
      </c>
      <c r="B49" s="84" t="s">
        <v>147</v>
      </c>
      <c r="C49" s="85"/>
      <c r="D49" s="83" t="s">
        <v>61</v>
      </c>
      <c r="E49" s="85"/>
      <c r="F49" s="86">
        <f>IFERROR(F13/O5,0)</f>
        <v>0</v>
      </c>
      <c r="G49" s="85"/>
    </row>
  </sheetData>
  <sheetProtection password="C7B9" sheet="1" objects="1" scenarios="1"/>
  <mergeCells count="2">
    <mergeCell ref="P3:Q3"/>
    <mergeCell ref="D2:F2"/>
  </mergeCells>
  <hyperlinks>
    <hyperlink ref="A2" location="'Реестр листов'!A1" display="назад"/>
  </hyperlinks>
  <pageMargins left="0.35433070866141736" right="0.31496062992125984" top="0.47244094488188981" bottom="0.47244094488188981" header="0.31496062992125984" footer="0.31496062992125984"/>
  <pageSetup paperSize="9" scale="55" orientation="landscape" r:id="rId1"/>
  <headerFooter scaleWithDoc="0">
    <oddHeader>&amp;LНалоговый калькулятор ЕНВД/УСНО/ОСНО/Патент&amp;R&amp;A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49"/>
  <sheetViews>
    <sheetView showGridLines="0" workbookViewId="0">
      <selection activeCell="D16" sqref="D16"/>
    </sheetView>
  </sheetViews>
  <sheetFormatPr defaultColWidth="9.140625" defaultRowHeight="17.25"/>
  <cols>
    <col min="1" max="1" width="7.5703125" style="65" customWidth="1"/>
    <col min="2" max="2" width="60.7109375" style="65" customWidth="1"/>
    <col min="3" max="3" width="0.7109375" style="65" customWidth="1"/>
    <col min="4" max="4" width="16.85546875" style="65" customWidth="1"/>
    <col min="5" max="5" width="0.7109375" style="65" customWidth="1"/>
    <col min="6" max="6" width="23.7109375" style="65" customWidth="1"/>
    <col min="7" max="7" width="0.7109375" style="65" customWidth="1"/>
    <col min="8" max="8" width="20.7109375" style="65" customWidth="1"/>
    <col min="9" max="9" width="0.5703125" style="65" customWidth="1"/>
    <col min="10" max="10" width="20.7109375" style="65" customWidth="1"/>
    <col min="11" max="11" width="0.5703125" style="65" customWidth="1"/>
    <col min="12" max="14" width="15.140625" style="65" customWidth="1"/>
    <col min="15" max="16384" width="9.140625" style="65"/>
  </cols>
  <sheetData>
    <row r="1" spans="1:9" ht="26.25">
      <c r="B1" s="66" t="s">
        <v>316</v>
      </c>
    </row>
    <row r="2" spans="1:9" ht="21">
      <c r="A2" s="150" t="s">
        <v>327</v>
      </c>
      <c r="B2" s="67" t="s">
        <v>84</v>
      </c>
    </row>
    <row r="4" spans="1:9" ht="18.75">
      <c r="A4" s="68" t="s">
        <v>7</v>
      </c>
      <c r="B4" s="68" t="s">
        <v>53</v>
      </c>
      <c r="C4" s="69"/>
      <c r="D4" s="68" t="s">
        <v>86</v>
      </c>
      <c r="E4" s="69"/>
      <c r="F4" s="68" t="s">
        <v>143</v>
      </c>
      <c r="G4" s="69"/>
      <c r="H4" s="68" t="s">
        <v>140</v>
      </c>
    </row>
    <row r="5" spans="1:9">
      <c r="A5" s="70">
        <v>1</v>
      </c>
      <c r="B5" s="71" t="s">
        <v>85</v>
      </c>
      <c r="C5" s="72"/>
      <c r="D5" s="70" t="s">
        <v>75</v>
      </c>
      <c r="E5" s="72"/>
      <c r="F5" s="33">
        <f>SUM(F6:F7)</f>
        <v>0</v>
      </c>
      <c r="H5" s="35">
        <f>IFERROR(F5/$F$5,0)</f>
        <v>0</v>
      </c>
    </row>
    <row r="6" spans="1:9">
      <c r="A6" s="73" t="s">
        <v>130</v>
      </c>
      <c r="B6" s="74" t="s">
        <v>132</v>
      </c>
      <c r="D6" s="73" t="s">
        <v>75</v>
      </c>
      <c r="F6" s="29">
        <f>'Вводная информация (1,2)'!F34</f>
        <v>0</v>
      </c>
      <c r="H6" s="36">
        <f t="shared" ref="H6:H7" si="0">IFERROR(F6/$F$5,0)</f>
        <v>0</v>
      </c>
    </row>
    <row r="7" spans="1:9" ht="34.5">
      <c r="A7" s="73" t="s">
        <v>131</v>
      </c>
      <c r="B7" s="74" t="s">
        <v>133</v>
      </c>
      <c r="D7" s="73" t="s">
        <v>75</v>
      </c>
      <c r="F7" s="29">
        <f>'Вводная информация (1,2)'!F35</f>
        <v>0</v>
      </c>
      <c r="H7" s="36">
        <f t="shared" si="0"/>
        <v>0</v>
      </c>
      <c r="I7" s="53"/>
    </row>
    <row r="8" spans="1:9">
      <c r="A8" s="70">
        <v>2</v>
      </c>
      <c r="B8" s="71" t="s">
        <v>87</v>
      </c>
      <c r="C8" s="72"/>
      <c r="D8" s="70" t="s">
        <v>75</v>
      </c>
      <c r="E8" s="72"/>
      <c r="F8" s="33">
        <f>SUM(F9:F38)</f>
        <v>0</v>
      </c>
      <c r="H8" s="35">
        <f>IFERROR(F8/$F$8,0)</f>
        <v>0</v>
      </c>
      <c r="I8" s="52"/>
    </row>
    <row r="9" spans="1:9" ht="34.5">
      <c r="A9" s="73" t="s">
        <v>2</v>
      </c>
      <c r="B9" s="26" t="s">
        <v>238</v>
      </c>
      <c r="D9" s="73" t="s">
        <v>75</v>
      </c>
      <c r="F9" s="29">
        <f>'Вводная информация (1,2)'!F37</f>
        <v>0</v>
      </c>
      <c r="H9" s="36">
        <f t="shared" ref="H9:H38" si="1">IFERROR(F9/$F$8,0)</f>
        <v>0</v>
      </c>
      <c r="I9" s="53"/>
    </row>
    <row r="10" spans="1:9">
      <c r="A10" s="73" t="s">
        <v>3</v>
      </c>
      <c r="B10" s="26" t="s">
        <v>237</v>
      </c>
      <c r="D10" s="73" t="s">
        <v>75</v>
      </c>
      <c r="F10" s="29">
        <f>'Вводная информация (1,2)'!F38</f>
        <v>0</v>
      </c>
      <c r="H10" s="36">
        <f t="shared" si="1"/>
        <v>0</v>
      </c>
      <c r="I10" s="53"/>
    </row>
    <row r="11" spans="1:9">
      <c r="A11" s="73" t="s">
        <v>4</v>
      </c>
      <c r="B11" s="74" t="s">
        <v>152</v>
      </c>
      <c r="D11" s="73" t="s">
        <v>75</v>
      </c>
      <c r="F11" s="29">
        <f>'Вводная информация (1,2)'!F39</f>
        <v>0</v>
      </c>
      <c r="H11" s="36">
        <f t="shared" si="1"/>
        <v>0</v>
      </c>
      <c r="I11" s="53"/>
    </row>
    <row r="12" spans="1:9">
      <c r="A12" s="73" t="s">
        <v>88</v>
      </c>
      <c r="B12" s="74" t="s">
        <v>179</v>
      </c>
      <c r="D12" s="73" t="s">
        <v>75</v>
      </c>
      <c r="F12" s="29">
        <f>'Вводная информация (1,2)'!F40</f>
        <v>0</v>
      </c>
      <c r="H12" s="36">
        <f t="shared" si="1"/>
        <v>0</v>
      </c>
      <c r="I12" s="53"/>
    </row>
    <row r="13" spans="1:9">
      <c r="A13" s="73" t="s">
        <v>89</v>
      </c>
      <c r="B13" s="74" t="s">
        <v>96</v>
      </c>
      <c r="D13" s="73" t="s">
        <v>75</v>
      </c>
      <c r="F13" s="29">
        <f>'Вводная информация (1,2)'!F41</f>
        <v>0</v>
      </c>
      <c r="H13" s="36">
        <f t="shared" si="1"/>
        <v>0</v>
      </c>
      <c r="I13" s="53"/>
    </row>
    <row r="14" spans="1:9">
      <c r="A14" s="73" t="s">
        <v>90</v>
      </c>
      <c r="B14" s="74" t="s">
        <v>97</v>
      </c>
      <c r="D14" s="73" t="s">
        <v>75</v>
      </c>
      <c r="F14" s="29">
        <f>'Вводная информация (1,2)'!F42</f>
        <v>0</v>
      </c>
      <c r="H14" s="36">
        <f t="shared" si="1"/>
        <v>0</v>
      </c>
      <c r="I14" s="53"/>
    </row>
    <row r="15" spans="1:9">
      <c r="A15" s="73" t="s">
        <v>91</v>
      </c>
      <c r="B15" s="74" t="s">
        <v>100</v>
      </c>
      <c r="D15" s="73" t="s">
        <v>75</v>
      </c>
      <c r="F15" s="29">
        <f>'Вводная информация (1,2)'!F43</f>
        <v>0</v>
      </c>
      <c r="H15" s="36">
        <f t="shared" si="1"/>
        <v>0</v>
      </c>
      <c r="I15" s="53"/>
    </row>
    <row r="16" spans="1:9">
      <c r="A16" s="73" t="s">
        <v>92</v>
      </c>
      <c r="B16" s="74" t="s">
        <v>101</v>
      </c>
      <c r="D16" s="73" t="s">
        <v>75</v>
      </c>
      <c r="F16" s="29">
        <f>'Вводная информация (1,2)'!F44</f>
        <v>0</v>
      </c>
      <c r="H16" s="36">
        <f t="shared" si="1"/>
        <v>0</v>
      </c>
      <c r="I16" s="53"/>
    </row>
    <row r="17" spans="1:9">
      <c r="A17" s="73" t="s">
        <v>93</v>
      </c>
      <c r="B17" s="74" t="s">
        <v>102</v>
      </c>
      <c r="D17" s="73" t="s">
        <v>75</v>
      </c>
      <c r="F17" s="29">
        <f>'Вводная информация (1,2)'!F45</f>
        <v>0</v>
      </c>
      <c r="H17" s="36">
        <f t="shared" si="1"/>
        <v>0</v>
      </c>
      <c r="I17" s="53"/>
    </row>
    <row r="18" spans="1:9">
      <c r="A18" s="73" t="s">
        <v>94</v>
      </c>
      <c r="B18" s="74" t="s">
        <v>103</v>
      </c>
      <c r="D18" s="73" t="s">
        <v>75</v>
      </c>
      <c r="F18" s="29">
        <f>'Вводная информация (1,2)'!F46</f>
        <v>0</v>
      </c>
      <c r="H18" s="36">
        <f t="shared" si="1"/>
        <v>0</v>
      </c>
      <c r="I18" s="53"/>
    </row>
    <row r="19" spans="1:9">
      <c r="A19" s="75" t="s">
        <v>95</v>
      </c>
      <c r="B19" s="74" t="s">
        <v>106</v>
      </c>
      <c r="D19" s="73" t="s">
        <v>75</v>
      </c>
      <c r="F19" s="29">
        <f>'Вводная информация (1,2)'!F47</f>
        <v>0</v>
      </c>
      <c r="H19" s="36">
        <f t="shared" si="1"/>
        <v>0</v>
      </c>
      <c r="I19" s="53"/>
    </row>
    <row r="20" spans="1:9">
      <c r="A20" s="75" t="s">
        <v>111</v>
      </c>
      <c r="B20" s="74" t="s">
        <v>98</v>
      </c>
      <c r="D20" s="73" t="s">
        <v>75</v>
      </c>
      <c r="F20" s="29">
        <f>'Вводная информация (1,2)'!F48</f>
        <v>0</v>
      </c>
      <c r="H20" s="36">
        <f t="shared" si="1"/>
        <v>0</v>
      </c>
      <c r="I20" s="53"/>
    </row>
    <row r="21" spans="1:9" ht="34.5">
      <c r="A21" s="75" t="s">
        <v>112</v>
      </c>
      <c r="B21" s="74" t="s">
        <v>99</v>
      </c>
      <c r="D21" s="73" t="s">
        <v>75</v>
      </c>
      <c r="F21" s="29">
        <f>'Вводная информация (1,2)'!F49</f>
        <v>0</v>
      </c>
      <c r="H21" s="36">
        <f t="shared" si="1"/>
        <v>0</v>
      </c>
      <c r="I21" s="53"/>
    </row>
    <row r="22" spans="1:9">
      <c r="A22" s="75" t="s">
        <v>113</v>
      </c>
      <c r="B22" s="74" t="s">
        <v>123</v>
      </c>
      <c r="D22" s="73" t="s">
        <v>75</v>
      </c>
      <c r="F22" s="29">
        <f>'Вводная информация (1,2)'!F50</f>
        <v>0</v>
      </c>
      <c r="H22" s="36">
        <f t="shared" si="1"/>
        <v>0</v>
      </c>
      <c r="I22" s="53"/>
    </row>
    <row r="23" spans="1:9">
      <c r="A23" s="75" t="s">
        <v>114</v>
      </c>
      <c r="B23" s="74" t="s">
        <v>104</v>
      </c>
      <c r="D23" s="73" t="s">
        <v>75</v>
      </c>
      <c r="F23" s="29">
        <f>'Вводная информация (1,2)'!F51</f>
        <v>0</v>
      </c>
      <c r="H23" s="36">
        <f t="shared" si="1"/>
        <v>0</v>
      </c>
      <c r="I23" s="53"/>
    </row>
    <row r="24" spans="1:9">
      <c r="A24" s="75" t="s">
        <v>115</v>
      </c>
      <c r="B24" s="74" t="s">
        <v>105</v>
      </c>
      <c r="D24" s="73" t="s">
        <v>75</v>
      </c>
      <c r="F24" s="29">
        <f>'Вводная информация (1,2)'!F52</f>
        <v>0</v>
      </c>
      <c r="H24" s="36">
        <f t="shared" si="1"/>
        <v>0</v>
      </c>
      <c r="I24" s="53"/>
    </row>
    <row r="25" spans="1:9">
      <c r="A25" s="75" t="s">
        <v>116</v>
      </c>
      <c r="B25" s="74" t="s">
        <v>154</v>
      </c>
      <c r="D25" s="73" t="s">
        <v>75</v>
      </c>
      <c r="F25" s="29">
        <f>'Вводная информация (1,2)'!F53</f>
        <v>0</v>
      </c>
      <c r="H25" s="36">
        <f t="shared" si="1"/>
        <v>0</v>
      </c>
      <c r="I25" s="53"/>
    </row>
    <row r="26" spans="1:9">
      <c r="A26" s="75" t="s">
        <v>120</v>
      </c>
      <c r="B26" s="74" t="s">
        <v>107</v>
      </c>
      <c r="D26" s="73" t="s">
        <v>75</v>
      </c>
      <c r="F26" s="29">
        <f>'Вводная информация (1,2)'!F54</f>
        <v>0</v>
      </c>
      <c r="H26" s="36">
        <f t="shared" si="1"/>
        <v>0</v>
      </c>
      <c r="I26" s="53"/>
    </row>
    <row r="27" spans="1:9">
      <c r="A27" s="75" t="s">
        <v>121</v>
      </c>
      <c r="B27" s="74" t="s">
        <v>108</v>
      </c>
      <c r="D27" s="73" t="s">
        <v>75</v>
      </c>
      <c r="F27" s="29">
        <f>'Вводная информация (1,2)'!F55</f>
        <v>0</v>
      </c>
      <c r="H27" s="36">
        <f t="shared" si="1"/>
        <v>0</v>
      </c>
      <c r="I27" s="53"/>
    </row>
    <row r="28" spans="1:9">
      <c r="A28" s="73" t="s">
        <v>122</v>
      </c>
      <c r="B28" s="74" t="s">
        <v>109</v>
      </c>
      <c r="D28" s="73" t="s">
        <v>75</v>
      </c>
      <c r="F28" s="29">
        <f>'Вводная информация (1,2)'!F56</f>
        <v>0</v>
      </c>
      <c r="H28" s="36">
        <f t="shared" si="1"/>
        <v>0</v>
      </c>
      <c r="I28" s="53"/>
    </row>
    <row r="29" spans="1:9">
      <c r="A29" s="75" t="s">
        <v>124</v>
      </c>
      <c r="B29" s="74" t="s">
        <v>117</v>
      </c>
      <c r="D29" s="73" t="s">
        <v>75</v>
      </c>
      <c r="F29" s="29">
        <f>'Вводная информация (1,2)'!F57</f>
        <v>0</v>
      </c>
      <c r="H29" s="36">
        <f t="shared" si="1"/>
        <v>0</v>
      </c>
      <c r="I29" s="53"/>
    </row>
    <row r="30" spans="1:9">
      <c r="A30" s="75" t="s">
        <v>125</v>
      </c>
      <c r="B30" s="74" t="s">
        <v>118</v>
      </c>
      <c r="D30" s="73" t="s">
        <v>75</v>
      </c>
      <c r="F30" s="29">
        <f>'Вводная информация (1,2)'!F58</f>
        <v>0</v>
      </c>
      <c r="H30" s="36">
        <f t="shared" si="1"/>
        <v>0</v>
      </c>
      <c r="I30" s="53"/>
    </row>
    <row r="31" spans="1:9">
      <c r="A31" s="75" t="s">
        <v>134</v>
      </c>
      <c r="B31" s="74" t="s">
        <v>119</v>
      </c>
      <c r="D31" s="73" t="s">
        <v>75</v>
      </c>
      <c r="F31" s="29">
        <f>'Вводная информация (1,2)'!F59</f>
        <v>0</v>
      </c>
      <c r="H31" s="36">
        <f t="shared" si="1"/>
        <v>0</v>
      </c>
      <c r="I31" s="53"/>
    </row>
    <row r="32" spans="1:9">
      <c r="A32" s="75" t="s">
        <v>135</v>
      </c>
      <c r="B32" s="74" t="s">
        <v>126</v>
      </c>
      <c r="D32" s="73" t="s">
        <v>75</v>
      </c>
      <c r="F32" s="29">
        <f>'Вводная информация (1,2)'!F60</f>
        <v>0</v>
      </c>
      <c r="H32" s="36">
        <f t="shared" si="1"/>
        <v>0</v>
      </c>
      <c r="I32" s="53"/>
    </row>
    <row r="33" spans="1:9">
      <c r="A33" s="75" t="s">
        <v>136</v>
      </c>
      <c r="B33" s="74" t="s">
        <v>127</v>
      </c>
      <c r="D33" s="73" t="s">
        <v>75</v>
      </c>
      <c r="F33" s="29">
        <f>'Вводная информация (1,2)'!F61*0</f>
        <v>0</v>
      </c>
      <c r="H33" s="36">
        <f t="shared" si="1"/>
        <v>0</v>
      </c>
      <c r="I33" s="53"/>
    </row>
    <row r="34" spans="1:9">
      <c r="A34" s="75" t="s">
        <v>137</v>
      </c>
      <c r="B34" s="26" t="s">
        <v>190</v>
      </c>
      <c r="D34" s="73" t="s">
        <v>75</v>
      </c>
      <c r="F34" s="29">
        <f>'Вводная информация (1,2)'!F62</f>
        <v>0</v>
      </c>
      <c r="H34" s="36">
        <f t="shared" si="1"/>
        <v>0</v>
      </c>
      <c r="I34" s="53"/>
    </row>
    <row r="35" spans="1:9">
      <c r="A35" s="75" t="s">
        <v>138</v>
      </c>
      <c r="B35" s="74" t="s">
        <v>128</v>
      </c>
      <c r="D35" s="73" t="s">
        <v>75</v>
      </c>
      <c r="F35" s="29">
        <f>'Вводная информация (1,2)'!F63</f>
        <v>0</v>
      </c>
      <c r="H35" s="36">
        <f t="shared" si="1"/>
        <v>0</v>
      </c>
      <c r="I35" s="53"/>
    </row>
    <row r="36" spans="1:9">
      <c r="A36" s="73" t="s">
        <v>150</v>
      </c>
      <c r="B36" s="74" t="s">
        <v>129</v>
      </c>
      <c r="D36" s="73" t="s">
        <v>75</v>
      </c>
      <c r="F36" s="29">
        <f>'Вводная информация (1,2)'!F64</f>
        <v>0</v>
      </c>
      <c r="H36" s="36">
        <f t="shared" si="1"/>
        <v>0</v>
      </c>
      <c r="I36" s="53"/>
    </row>
    <row r="37" spans="1:9">
      <c r="A37" s="73" t="s">
        <v>153</v>
      </c>
      <c r="B37" s="74" t="s">
        <v>149</v>
      </c>
      <c r="D37" s="73" t="s">
        <v>75</v>
      </c>
      <c r="F37" s="29">
        <f>'Вводная информация (1,2)'!F65</f>
        <v>0</v>
      </c>
      <c r="H37" s="36">
        <f t="shared" si="1"/>
        <v>0</v>
      </c>
      <c r="I37" s="53"/>
    </row>
    <row r="38" spans="1:9">
      <c r="A38" s="73" t="s">
        <v>155</v>
      </c>
      <c r="B38" s="74" t="s">
        <v>110</v>
      </c>
      <c r="D38" s="73" t="s">
        <v>75</v>
      </c>
      <c r="F38" s="29">
        <f>'Вводная информация (1,2)'!F66</f>
        <v>0</v>
      </c>
      <c r="H38" s="36">
        <f t="shared" si="1"/>
        <v>0</v>
      </c>
      <c r="I38" s="53"/>
    </row>
    <row r="39" spans="1:9">
      <c r="A39" s="70">
        <v>3</v>
      </c>
      <c r="B39" s="71" t="s">
        <v>182</v>
      </c>
      <c r="C39" s="72"/>
      <c r="D39" s="70" t="s">
        <v>75</v>
      </c>
      <c r="E39" s="72"/>
      <c r="F39" s="33">
        <f>F5-F8</f>
        <v>0</v>
      </c>
    </row>
    <row r="40" spans="1:9">
      <c r="A40" s="70">
        <v>4</v>
      </c>
      <c r="B40" s="71" t="s">
        <v>188</v>
      </c>
      <c r="C40" s="72"/>
      <c r="D40" s="70" t="s">
        <v>75</v>
      </c>
      <c r="E40" s="72"/>
      <c r="F40" s="33">
        <f>'Вводная информация (3) - ПАТЕНТ'!D28</f>
        <v>0</v>
      </c>
    </row>
    <row r="41" spans="1:9">
      <c r="A41" s="70">
        <v>5</v>
      </c>
      <c r="B41" s="71" t="s">
        <v>139</v>
      </c>
      <c r="C41" s="72"/>
      <c r="D41" s="70" t="s">
        <v>75</v>
      </c>
      <c r="E41" s="72"/>
      <c r="F41" s="33">
        <f>F39-F40</f>
        <v>0</v>
      </c>
    </row>
    <row r="43" spans="1:9" ht="21">
      <c r="B43" s="67" t="s">
        <v>148</v>
      </c>
    </row>
    <row r="45" spans="1:9" ht="18.75">
      <c r="A45" s="76" t="s">
        <v>7</v>
      </c>
      <c r="B45" s="76" t="s">
        <v>53</v>
      </c>
      <c r="C45" s="77"/>
      <c r="D45" s="76" t="s">
        <v>86</v>
      </c>
      <c r="E45" s="77"/>
      <c r="F45" s="76" t="s">
        <v>143</v>
      </c>
      <c r="G45" s="78"/>
    </row>
    <row r="46" spans="1:9">
      <c r="A46" s="83">
        <v>1</v>
      </c>
      <c r="B46" s="84" t="s">
        <v>141</v>
      </c>
      <c r="C46" s="85"/>
      <c r="D46" s="83" t="s">
        <v>61</v>
      </c>
      <c r="E46" s="85"/>
      <c r="F46" s="86">
        <f>IFERROR(F41/F5,0)</f>
        <v>0</v>
      </c>
      <c r="G46" s="85"/>
    </row>
    <row r="47" spans="1:9">
      <c r="A47" s="83">
        <v>2</v>
      </c>
      <c r="B47" s="84" t="s">
        <v>142</v>
      </c>
      <c r="C47" s="85"/>
      <c r="D47" s="83" t="s">
        <v>61</v>
      </c>
      <c r="E47" s="85"/>
      <c r="F47" s="86">
        <f>IFERROR(F41/F8,0)</f>
        <v>0</v>
      </c>
      <c r="G47" s="85"/>
    </row>
    <row r="48" spans="1:9">
      <c r="A48" s="83">
        <v>3</v>
      </c>
      <c r="B48" s="84" t="s">
        <v>146</v>
      </c>
      <c r="C48" s="85"/>
      <c r="D48" s="83" t="s">
        <v>61</v>
      </c>
      <c r="E48" s="85"/>
      <c r="F48" s="86">
        <f>IFERROR(SUM(F33:F37,F40)/F5,0)</f>
        <v>0</v>
      </c>
      <c r="G48" s="85"/>
    </row>
    <row r="49" spans="1:7">
      <c r="A49" s="83">
        <v>4</v>
      </c>
      <c r="B49" s="84" t="s">
        <v>147</v>
      </c>
      <c r="C49" s="85"/>
      <c r="D49" s="83" t="s">
        <v>61</v>
      </c>
      <c r="E49" s="85"/>
      <c r="F49" s="86">
        <f>IFERROR(F13/F5,0)</f>
        <v>0</v>
      </c>
      <c r="G49" s="85"/>
    </row>
  </sheetData>
  <sheetProtection password="C7B9" sheet="1" objects="1" scenarios="1"/>
  <hyperlinks>
    <hyperlink ref="A2" location="'Реестр листов'!A1" display="назад"/>
  </hyperlinks>
  <pageMargins left="0.35433070866141736" right="0.31496062992125984" top="0.47244094488188981" bottom="0.47244094488188981" header="0.31496062992125984" footer="0.31496062992125984"/>
  <pageSetup paperSize="9" scale="58" orientation="landscape" r:id="rId1"/>
  <headerFooter scaleWithDoc="0">
    <oddHeader>&amp;LНалоговый калькулятор ЕНВД/УСНО/ОСНО/Патент&amp;R&amp;A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ТИТУЛ</vt:lpstr>
      <vt:lpstr>Реестр листов</vt:lpstr>
      <vt:lpstr>Вводная информация (1,2)</vt:lpstr>
      <vt:lpstr>Вводная информация (3) - ПАТЕНТ</vt:lpstr>
      <vt:lpstr>СВОД</vt:lpstr>
      <vt:lpstr>УСНО (Доходы)</vt:lpstr>
      <vt:lpstr>УСНО (Д-Р)</vt:lpstr>
      <vt:lpstr>ОСНО</vt:lpstr>
      <vt:lpstr>ПАТЕНТ</vt:lpstr>
      <vt:lpstr>ИП без сотрудников</vt:lpstr>
      <vt:lpstr>Библиотеки</vt:lpstr>
      <vt:lpstr>Расходы_НК_ст346.16</vt:lpstr>
      <vt:lpstr>Расходы_НК_ст346.16!Заголовки_для_печати</vt:lpstr>
      <vt:lpstr>Расходы_НК_ст346.16!Область_печати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Sozonov Vladimir</dc:creator>
  <cp:lastModifiedBy>Admin</cp:lastModifiedBy>
  <cp:lastPrinted>2020-11-12T14:14:05Z</cp:lastPrinted>
  <dcterms:created xsi:type="dcterms:W3CDTF">2020-10-17T08:14:44Z</dcterms:created>
  <dcterms:modified xsi:type="dcterms:W3CDTF">2020-11-25T05:46:58Z</dcterms:modified>
</cp:coreProperties>
</file>