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730" windowHeight="11760" tabRatio="878" activeTab="0"/>
  </bookViews>
  <sheets>
    <sheet name="изм.к пост ..... от 25.09" sheetId="1" r:id="rId1"/>
  </sheets>
  <definedNames>
    <definedName name="_xlnm.Print_Area" localSheetId="0">'изм.к пост ..... от 25.09'!$A$1:$X$240</definedName>
  </definedNames>
  <calcPr fullCalcOnLoad="1"/>
</workbook>
</file>

<file path=xl/comments1.xml><?xml version="1.0" encoding="utf-8"?>
<comments xmlns="http://schemas.openxmlformats.org/spreadsheetml/2006/main">
  <authors>
    <author>obpm2</author>
  </authors>
  <commentList>
    <comment ref="M2" authorId="0">
      <text>
        <r>
          <rPr>
            <sz val="9"/>
            <rFont val="Tahoma"/>
            <family val="2"/>
          </rPr>
          <t xml:space="preserve">когда вносим изменения то к постановлению
</t>
        </r>
      </text>
    </comment>
    <comment ref="H114" authorId="0">
      <text>
        <r>
          <rPr>
            <sz val="9"/>
            <rFont val="Tahoma"/>
            <family val="2"/>
          </rPr>
          <t xml:space="preserve">бордюр для площадки ГТО
</t>
        </r>
      </text>
    </comment>
    <comment ref="I206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  <comment ref="I210" authorId="0">
      <text>
        <r>
          <rPr>
            <b/>
            <sz val="9"/>
            <rFont val="Tahoma"/>
            <family val="2"/>
          </rPr>
          <t>по 0702</t>
        </r>
        <r>
          <rPr>
            <sz val="9"/>
            <rFont val="Tahoma"/>
            <family val="2"/>
          </rPr>
          <t xml:space="preserve">
</t>
        </r>
      </text>
    </comment>
    <comment ref="I214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  <comment ref="I218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<sst xmlns="http://schemas.openxmlformats.org/spreadsheetml/2006/main" count="536" uniqueCount="167">
  <si>
    <t>Приложение 1</t>
  </si>
  <si>
    <t xml:space="preserve">ПЕРЕЧЕНЬ мероприятий </t>
  </si>
  <si>
    <t xml:space="preserve"> муниципальной программы</t>
  </si>
  <si>
    <t>№ п/п</t>
  </si>
  <si>
    <t>Наименование мероприятия программы</t>
  </si>
  <si>
    <t>Исполнители</t>
  </si>
  <si>
    <t>Срок начала /окончания работ</t>
  </si>
  <si>
    <t>Источники финансирования</t>
  </si>
  <si>
    <t>Объемы финансирования,                                                        в т.ч.по годам (рублях)</t>
  </si>
  <si>
    <t>Ожидаемые результаты реализации мероприятия(**)</t>
  </si>
  <si>
    <t>Всего</t>
  </si>
  <si>
    <t>1.</t>
  </si>
  <si>
    <t>Всего:</t>
  </si>
  <si>
    <t>в т.ч. Районный бюджет</t>
  </si>
  <si>
    <t>в т.ч. Областной бюджет</t>
  </si>
  <si>
    <t>в т.ч. Федеральный бюджет</t>
  </si>
  <si>
    <t>1.1.</t>
  </si>
  <si>
    <t>Обеспечение доступности дошкольного образования</t>
  </si>
  <si>
    <t>1.1.1.</t>
  </si>
  <si>
    <t>Обеспечение деятельности дошкольных образовательных организаций (муниципальное задание)</t>
  </si>
  <si>
    <t>1.1.2.</t>
  </si>
  <si>
    <t xml:space="preserve">Проезд к месту отдыха и обратно </t>
  </si>
  <si>
    <t>1.1.3.</t>
  </si>
  <si>
    <t>Возмещение расходов,связанных с реализацией мер соцподдержки педработникам,проживающих в сельских населенных пунктах и рабочем поселке</t>
  </si>
  <si>
    <t>1.2.</t>
  </si>
  <si>
    <t>1.2.1.</t>
  </si>
  <si>
    <t>Оснащение образовательных организаций  в соответствиии с требованиями ФГОС</t>
  </si>
  <si>
    <t>1.2.2.</t>
  </si>
  <si>
    <t>Приобретение учебников по ФГОС</t>
  </si>
  <si>
    <t>1.2.3.</t>
  </si>
  <si>
    <t>1.2.4.</t>
  </si>
  <si>
    <t>Обеспечение высокоскоростного интернета</t>
  </si>
  <si>
    <t>1.2.5.</t>
  </si>
  <si>
    <t>Обеспечение деятельности общеобразовательных организаций (муниципальное задание)</t>
  </si>
  <si>
    <t>1.2.6.</t>
  </si>
  <si>
    <t>1.2.7.</t>
  </si>
  <si>
    <t>1.2.8.</t>
  </si>
  <si>
    <t>Выявление детей с ограниченными возможностями здоровья и проведение их комплексного обследования (ЦППРК)</t>
  </si>
  <si>
    <t>1.2.9.</t>
  </si>
  <si>
    <t>Резервный фонд для создания групп,классов-комплектов и объединений дополнительного образования</t>
  </si>
  <si>
    <t>1.3.</t>
  </si>
  <si>
    <t>Обеспечение обучения педагогических работников по дополнительным профессиональным программам</t>
  </si>
  <si>
    <t>Обеспечение обучения педагогических работников по дополнительным профессиональным программам (программам повышения квалификации и программам профессиолнальной переподготовки)</t>
  </si>
  <si>
    <t>1.4.</t>
  </si>
  <si>
    <t>Развитие дополнительного образования обучающихся  Устьянского района</t>
  </si>
  <si>
    <t>1.4.1.</t>
  </si>
  <si>
    <t>1.4.2.</t>
  </si>
  <si>
    <t>1.5.</t>
  </si>
  <si>
    <t>Создание условий для укрепления здоровья учащихся</t>
  </si>
  <si>
    <t>1.5.1.</t>
  </si>
  <si>
    <t>Приобретение спортивного инвентаря и оборудования</t>
  </si>
  <si>
    <t>1.5.2.</t>
  </si>
  <si>
    <t>1.5.3.</t>
  </si>
  <si>
    <t>Обеспечение питанием обучающихся,проживающих в интернате</t>
  </si>
  <si>
    <t>1.5.4.</t>
  </si>
  <si>
    <t>2.</t>
  </si>
  <si>
    <t>2.1.</t>
  </si>
  <si>
    <t>2.2.</t>
  </si>
  <si>
    <t>2.3.</t>
  </si>
  <si>
    <t>Создание безопасных условий по подвозу обучающихся к месту учебы и обратно, оснащение образовательных организаций школьными автобусами</t>
  </si>
  <si>
    <t>2.5.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</si>
  <si>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</si>
  <si>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>3.</t>
  </si>
  <si>
    <t>3.1.</t>
  </si>
  <si>
    <t>Укрепление  материально-технической базы загородных  стационарных  оздоровительных  учреждений</t>
  </si>
  <si>
    <t>3.2.</t>
  </si>
  <si>
    <t>Акарицидная обработка территорий оздровительных лагерей с дневным пребыванием детей</t>
  </si>
  <si>
    <t>3.3.</t>
  </si>
  <si>
    <t>4.</t>
  </si>
  <si>
    <t>4.1.</t>
  </si>
  <si>
    <t>Школа одаренных детей</t>
  </si>
  <si>
    <t>4.2.</t>
  </si>
  <si>
    <t>4.3.</t>
  </si>
  <si>
    <t>4.4.</t>
  </si>
  <si>
    <t>5.1.</t>
  </si>
  <si>
    <t>.</t>
  </si>
  <si>
    <t>ИТОГО ОБЪЕМЫ ФИНАНСИРОВАНИЯ ПО ПРОГРАММЕ</t>
  </si>
  <si>
    <t>Проведение ремонтных работ в образовательных организациях</t>
  </si>
  <si>
    <t>Мероприятия по оздоровлению и организации занятости детей</t>
  </si>
  <si>
    <t>Осуществление полномочий в сфере образования</t>
  </si>
  <si>
    <t>эффективность реализации муниципальной программы - 0,9</t>
  </si>
  <si>
    <t>Создание условий для инклюзивного образования ( для безбарьерных условий маломобильных людей в рамках программы "Доступная среда" )</t>
  </si>
  <si>
    <t>Обеспечение деятельности образовательных организаций дополнительного образования  (муниципальное задание)</t>
  </si>
  <si>
    <t>Организация и проведение учебных сборов  юношей 10-х классов.</t>
  </si>
  <si>
    <t>1.5.5.</t>
  </si>
  <si>
    <t>4.5.</t>
  </si>
  <si>
    <t>Мероприятия направленные на повышение престижа профессии педагог</t>
  </si>
  <si>
    <t xml:space="preserve">90% образовательных учреждений, отвечающих современным требованиям обучения. В.т.ч. ОСОШ №1 "Рябинушка" - 908 000 руб;  Ульяновская СОШ (Ростовская ОШ)-ремонт спорт зала 2 187 200 руб; Проектная документация "Илезкая СОШ" (дет.сад Лесок)-530 000; Лойгинская СОШ ремонт -1 681 064 000; Малодорская СОШ (ремонт крыши) -1 483 504; ОСОШ №2 (Октябрьская ДЮСШ) -339 000 руб; Дмитриевская СОШ - 1 000 000; ОСШ №1 - 1 400 000; ОСОШ №2 - 1 752 400 </t>
  </si>
  <si>
    <t>Организация и проведение районного праздника "Юные дарования Устьи"</t>
  </si>
  <si>
    <t>Обустройство плоскостных сооружений</t>
  </si>
  <si>
    <t xml:space="preserve">Развитие технического творчества </t>
  </si>
  <si>
    <t>1.3.2.</t>
  </si>
  <si>
    <t>1.3.1</t>
  </si>
  <si>
    <t>1.4.4.</t>
  </si>
  <si>
    <t>1.4.3</t>
  </si>
  <si>
    <t>Открытие  центров цифрового, гуманитарного профиля (точки роста)</t>
  </si>
  <si>
    <t xml:space="preserve"> Создание муниципального информационно-библиотечного центра и  школьных ИБЦ</t>
  </si>
  <si>
    <t>Установка цифрового образовательного кольца</t>
  </si>
  <si>
    <t>2.4</t>
  </si>
  <si>
    <t>2.6</t>
  </si>
  <si>
    <t>2.7.</t>
  </si>
  <si>
    <t>3.4</t>
  </si>
  <si>
    <t>3.5.</t>
  </si>
  <si>
    <t>Трудоустройство несовершеннолетних, в т.ч несовершеннолетних, попавших в трудную жизненную ситуацию</t>
  </si>
  <si>
    <t>Развитие естественно-научного направления</t>
  </si>
  <si>
    <t>2020-2024</t>
  </si>
  <si>
    <t>1.1.4.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</si>
  <si>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</si>
  <si>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Организация курсовой подготовки работников, занятых организацией летнего отдыха детей</t>
  </si>
  <si>
    <t>Создание условий, отвечающих требованиям пожарной безопасности</t>
  </si>
  <si>
    <t xml:space="preserve">Спортивные соревнования </t>
  </si>
  <si>
    <t>4.6.</t>
  </si>
  <si>
    <t>4.7.</t>
  </si>
  <si>
    <t>Участия в конференциях (Юность Поморья, Форум гражданских инициатив " Я гражданин России", Живая классика)</t>
  </si>
  <si>
    <t xml:space="preserve">Участия во Всероссийской олимпиаде школьников (региональный этап, муниципальный этап ) </t>
  </si>
  <si>
    <t>Ремонт спортивных залов и обновление материально-технической  базы  для занятий физической культурой и спортом</t>
  </si>
  <si>
    <t xml:space="preserve"> "Развитие образования Устьянского района"</t>
  </si>
  <si>
    <t xml:space="preserve">к муниципальной программе </t>
  </si>
  <si>
    <t>"Развитие образования Устьянского района"</t>
  </si>
  <si>
    <t>Обеспечение доступности и качества общего образования</t>
  </si>
  <si>
    <t>100% детей, проживающих в интернате, получают горячее питание</t>
  </si>
  <si>
    <t>99% образовательных организаций оснащены пищеблоками</t>
  </si>
  <si>
    <t xml:space="preserve">Укрепление материально-технической базы дошкольных образовательных организаций, оснащение пищеблоков </t>
  </si>
  <si>
    <t>Соисполнители</t>
  </si>
  <si>
    <t>МБДОУ  АЛЕНУШКА;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</si>
  <si>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</si>
  <si>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 МБОУ ОСШ №2</t>
  </si>
  <si>
    <t>Управление образования</t>
  </si>
  <si>
    <t xml:space="preserve"> МБОУ БЕРЕЗ.ОГ; МБОУ ОСШ №1; МБОУ ОСШ №2; МБОУ УСТ.СОШ; МБОУ УЛ.СОШ</t>
  </si>
  <si>
    <t xml:space="preserve">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</si>
  <si>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</si>
  <si>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 xml:space="preserve"> МБОУ БЕСТУЖ.СОШ; МБОУ ДМИТР.СОШ; МБОУ КИЗЕМ.СОШ; МБОУ МАЛОД.СОШ</t>
  </si>
  <si>
    <t>МБОУ СТРОЕВСКАЯ СОШ</t>
  </si>
  <si>
    <t>МБОУ УЛЬЯНОВСКАЯ СОШ; МБОУ УСТЬЯНСКАЯ СОШ</t>
  </si>
  <si>
    <t>МБОУ ОСОШ №2</t>
  </si>
  <si>
    <t>МБОУ ОСОШ №1; МБОУ УСТЬЯНСКАЯ СОШ</t>
  </si>
  <si>
    <t>УПРАВЛЕНИЕ КУЛЬТУРЫ; МБОУ ОСОШ №2</t>
  </si>
  <si>
    <t>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</si>
  <si>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УПРАВЛЕНИЕ КУЛЬТУРЫ;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</si>
  <si>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</si>
  <si>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 МБОУ ДМИТ.СОШ; МБОУ КИЗ.СОШ; МБОУ СТР.СОШ; МБОУ УСТ.СОШ; МБОУ УЛ.СОШ</t>
  </si>
  <si>
    <t>МБДОУ  АЛЕНУШКА; МБОУ БЕСТУЖ.СОШ; МБОУ КИЗЕМ.СОШ; МБОУ ОСШ №1; МБОУ ОСШ №2; МБОУ УСТ.СОШ</t>
  </si>
  <si>
    <t>МБДОУ  АЛЕНУШКА;  МБОУ ЛОЙГ.СОШ; МБОУ МАЛОД.СОШ;  МБОУ Н/Ш Д/С МОНТЕССОРИ; МБОУ ОСШ №1; МБОУ ОСШ №2; МБОУ УСТ.СОШ</t>
  </si>
  <si>
    <r>
      <t>УПРАВЛЕНИЕ КУЛЬТУРЫ</t>
    </r>
    <r>
      <rPr>
        <sz val="8"/>
        <rFont val="Times New Roman"/>
        <family val="1"/>
      </rPr>
      <t>;</t>
    </r>
    <r>
      <rPr>
        <sz val="6"/>
        <rFont val="Times New Roman"/>
        <family val="1"/>
      </rPr>
      <t xml:space="preserve"> 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  </r>
  </si>
  <si>
    <t>УПРАВЛЕНИЕ КУЛЬТУРЫ; 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</si>
  <si>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-</t>
  </si>
  <si>
    <t>65% детей занимается в объединениях физкультурно-спортивной направленности</t>
  </si>
  <si>
    <t xml:space="preserve">1) 100% действующих мест в структурном подразделении детский оздоровительный лагерь «Колос» муниципального бюджетного общеобразовательного учреждения «Октябрьская  средняя общеобразовательная   школа №2» от суммарной  проектной мощности данного  учреждения;
2) 5% несовершеннолетних  охвачены трудоустройством в т.ч  несовершеннолетних попавших в ТЖС;
3) 93% детей охвачены организованным оздоровлением;
4) 85% детей, находящихся в трудной жизненной ситуации отдохнувших и оздоровленных в рамках муниципальной программы, в общей численности детей школьного возраста, находящихся в трудной жизненной ситуации, подлежащих оздоровлению.
</t>
  </si>
  <si>
    <t xml:space="preserve">1) 65%  детей, охваченных образовательными программами дополнительного образования физкультурно-оздоровительной и спортивной направленности;
2) 50% детей, охваченных технической деятельностью;
3) 5% детей, охваченных естественно-научной деятельностью;                                                                         4) 70% детей с ОВЗ охваченных программами дополнительного образования в том числе с помощью дистанционных технологий НП "Успех каждого ребенка";
5) 8% стали участниками   районного праздника  «Юные дарования Устьи»;
6) Участие во всероссийской олимпиаде школьников:
Школьный этап – 60% Муниципальный этап – 35%
Региональный этап – 6% Заключительный этап -0,06%.
</t>
  </si>
  <si>
    <t>Подпрограмма "Развитие  общего и дополнительного образования Устьянского района" Задача: создать условия для эффективного использования кадрового, материально-технического ресурсов образования для обеспечения высокого его  качества, максимального удовлетворения образовательных потребностей обучающихся, запросов семьи и общества.</t>
  </si>
  <si>
    <t xml:space="preserve">Подпрограмма 2 "Создание безопасной инфраструктуры образовательных организаций" Задача: обеспечить современные (безопасные) условия для организации общего и дополнительного образования в Устьянском районе.
</t>
  </si>
  <si>
    <t>Подпрограмма 3 "Отдых  детей  в  каникулярный  период" Задача: создать условия для организации и обеспечения отдыха, оздоровления и занятости детей  в каникулярный период.</t>
  </si>
  <si>
    <t>Подпрограмма 4 "Создание условий для развития одаренных детей" Задача: выявление и поддержка одаренных (талантливых) детей,  создание  условий, обеспечивающих повышение творческой активности, развитию лидерских качеств обучающихся.</t>
  </si>
  <si>
    <t xml:space="preserve">1) Повышение до 95%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учреждений;                                                                                            2) 100% освоения обучающимися основной общеобразовательной программы по ее завершении;
3) 95% обучающихся на уровне среднего общего образования обучаются по углубленным программам
4) 100% выполнение показателя средней  заработной   платы педагогов  школ в соответствии с соглашением Министерства образования и науки Архангельской области;
5) показатель удовлетворенности участников образовательных отношений качеством образовательных услуг  к концу программы не ниже 3,6;
6) 100% выпускников, освоивших образовательные программы основного общего и успешно прошедших государственную итоговую аттестацию по образовательным программам основного общего образования и получивших аттестат об основном общем образовании;
7) 100% выпускников, освоивших образовательные программы среднего общего и успешно прошедших государственную итоговую аттестацию по образовательным программам основного общего образования и получивших аттестат о среднем общем образовании;
8) 100% детей с ограниченными возможностями здоровья в возрасте от 7 до 18 лет, обучающихся по программам общего образования ( в любой форме), от общей численности детей с ограниченными возможностями здоровья в возрасте от 7 до 18 лет;
9) 100% пунктов проведения ГИА в форме ЕГЭ, оснащенных для применения технологий по печати и сканированию экзаменационных материалов в ППЭ, от общего числа ППЭ;
10) 90% детей обучающихся в школе, получающих горячее питание
</t>
  </si>
  <si>
    <t>1) 100 % педагогов прошли курсовую переподготовку (от потребности);                                                                                                     2) 50% учителей общеобразовательных организаций, вовлеченных в национальную систему профессионального роста НП "Учитель будущего".</t>
  </si>
  <si>
    <t xml:space="preserve">1) Снижение до 35% муниципальных  образовательных учреждений, здания которых находятся в аварийном состоянии или требуют капитального ремонта, в общем числе муниципальных образовательных учреждений 
2) 100% транспортных средств, осуществляющих подвоз детей к месту учебы и обратно, срок эксплуатации которых не превышает 10 лет;                                                                                                                    3) 100% муниципальных  образовательных учреждений в которых установлена пожарная сигнализация
4) 30% муниципальных общеобразовательных учреждений с моделью цифровой образовательной среды НП "Цифровая образовательная среда";                                                                                                                     5) 100% муниципальных  образовательных учреждений, в которых установлены системы  видеонаблюдения;
6) 9 спортивных залов с обновленной материально-технической  базой  для занятий физической культурой и спортом
7) 6 муниципальных общеобразовательных учреждений в которых установлено цифровое образовательное кольцо
8) 40%  информационно библиотечных центров в числе общего количества школьных библиотек
</t>
  </si>
  <si>
    <t>Подпрограмма 5 "Создание условий для реализации программы" Задача: обеспечить эффективной деятельности органов исполнительной власти в сфере образования</t>
  </si>
  <si>
    <t xml:space="preserve">1) 100 % детей в возрасте до3-лет охвачено услугами дошкольного образования;                                                                                                                       2) 100% граждан положительно оценивших качество услуг психолого- педагогической , методической и консультативной помощи, от общего числа обратившихся за получением услуги НП "Поддержка семей, имеющих детей";                                                                                           3) 100% выполнение  уровня средней заработной платы педагогов дошкольного образования в соответствии с соглашением Министерства образования и науки Архангельской области;                         </t>
  </si>
  <si>
    <t>2.8.</t>
  </si>
  <si>
    <t>Благоустройство территорий муниципальных образовательных организаций</t>
  </si>
  <si>
    <t>МБОУ "ОСОШ №2"</t>
  </si>
  <si>
    <t xml:space="preserve">Обеспечение бесплатным горячим питанием обучающихся, осваивающих образовательные программы начального общего образования
</t>
  </si>
  <si>
    <t>1.5.6.</t>
  </si>
  <si>
    <t>Обеспечение функционирования системы персонифицированного финансирования дополнительного образования детей</t>
  </si>
  <si>
    <t>1.4.5.</t>
  </si>
  <si>
    <t>100% детей, осваивающих образовательные программы начального общего образования получают горячее питание</t>
  </si>
  <si>
    <t xml:space="preserve">1) 80% охваченных образовательными программами дополнительного образования НП "Успех каждого ребенка";
2) 50%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в рамках проекта «Шаги в профессию» (Обучающиеся  8-11классов) НП "Успех каждого ребенка";
3) 95% участников открытых онлайн-уроков, реализуемых с учетом опыта цикла открытых уроков «Проектория», направленных на раннюю профориентацию НП "Успех каждого ребенка";                         4)30% детей в возрасте от 5 до 18 лет, имеющих право на получение дополнительного образования в рамках системы персонифицированного финансирования в рамках НП «Успех каждого ребенка»;
5) 30% обучающихся  охваченных в технозонах «ДАТА –парка» НП "Успех каждого ребенка";
6) 8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и гуманитарного профилей (Точки роста) НП "Современная школа";
7) 2000 обучающихся занятых в центрах гуманитарного и цифрового профиля (Точки роста) НП "Успех каждого ребенка";                                                                                                8) 55%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 обучения с использованием федеральной информационно-сервисной платформой цифровой образовательной среды. НП «Цифровая образовательная среда».
9) 100% выполнение показателя средней  заработной   платы педагогов дополнительного образования в соответствии с соглашением Министерства образования и науки Архангельской области.
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</si>
</sst>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0.00000"/>
    <numFmt numFmtId="196" formatCode="0.0000"/>
    <numFmt numFmtId="197" formatCode="0.000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9"/>
      <name val="Tahoma"/>
      <family val="2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0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/>
    </xf>
    <xf numFmtId="4" fontId="20" fillId="24" borderId="0" xfId="0" applyNumberFormat="1" applyFont="1" applyFill="1" applyAlignment="1">
      <alignment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0" fontId="20" fillId="25" borderId="10" xfId="0" applyFont="1" applyFill="1" applyBorder="1" applyAlignment="1">
      <alignment/>
    </xf>
    <xf numFmtId="0" fontId="20" fillId="26" borderId="10" xfId="0" applyFont="1" applyFill="1" applyBorder="1" applyAlignment="1">
      <alignment/>
    </xf>
    <xf numFmtId="43" fontId="20" fillId="24" borderId="11" xfId="0" applyNumberFormat="1" applyFont="1" applyFill="1" applyBorder="1" applyAlignment="1">
      <alignment/>
    </xf>
    <xf numFmtId="43" fontId="20" fillId="24" borderId="0" xfId="0" applyNumberFormat="1" applyFont="1" applyFill="1" applyAlignment="1">
      <alignment/>
    </xf>
    <xf numFmtId="0" fontId="20" fillId="24" borderId="0" xfId="0" applyFont="1" applyFill="1" applyBorder="1" applyAlignment="1">
      <alignment/>
    </xf>
    <xf numFmtId="43" fontId="37" fillId="24" borderId="0" xfId="0" applyNumberFormat="1" applyFont="1" applyFill="1" applyAlignment="1">
      <alignment/>
    </xf>
    <xf numFmtId="49" fontId="20" fillId="24" borderId="12" xfId="0" applyNumberFormat="1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4" fontId="37" fillId="24" borderId="11" xfId="0" applyNumberFormat="1" applyFont="1" applyFill="1" applyBorder="1" applyAlignment="1">
      <alignment/>
    </xf>
    <xf numFmtId="0" fontId="37" fillId="24" borderId="0" xfId="0" applyFont="1" applyFill="1" applyAlignment="1">
      <alignment/>
    </xf>
    <xf numFmtId="0" fontId="20" fillId="24" borderId="11" xfId="0" applyFont="1" applyFill="1" applyBorder="1" applyAlignment="1">
      <alignment/>
    </xf>
    <xf numFmtId="4" fontId="20" fillId="24" borderId="0" xfId="0" applyNumberFormat="1" applyFont="1" applyFill="1" applyBorder="1" applyAlignment="1">
      <alignment/>
    </xf>
    <xf numFmtId="0" fontId="20" fillId="24" borderId="0" xfId="0" applyFont="1" applyFill="1" applyBorder="1" applyAlignment="1">
      <alignment horizontal="center" wrapText="1"/>
    </xf>
    <xf numFmtId="0" fontId="20" fillId="27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24" borderId="0" xfId="0" applyFont="1" applyFill="1" applyAlignment="1">
      <alignment horizontal="center"/>
    </xf>
    <xf numFmtId="0" fontId="20" fillId="24" borderId="12" xfId="0" applyFont="1" applyFill="1" applyBorder="1" applyAlignment="1">
      <alignment horizontal="center" vertical="center" wrapText="1"/>
    </xf>
    <xf numFmtId="0" fontId="20" fillId="25" borderId="13" xfId="0" applyFont="1" applyFill="1" applyBorder="1" applyAlignment="1">
      <alignment vertical="center" wrapText="1"/>
    </xf>
    <xf numFmtId="0" fontId="20" fillId="25" borderId="12" xfId="0" applyFont="1" applyFill="1" applyBorder="1" applyAlignment="1">
      <alignment vertical="center" wrapText="1"/>
    </xf>
    <xf numFmtId="0" fontId="20" fillId="25" borderId="14" xfId="0" applyFont="1" applyFill="1" applyBorder="1" applyAlignment="1">
      <alignment vertical="center" wrapText="1"/>
    </xf>
    <xf numFmtId="0" fontId="26" fillId="24" borderId="0" xfId="0" applyFont="1" applyFill="1" applyAlignment="1">
      <alignment/>
    </xf>
    <xf numFmtId="0" fontId="28" fillId="24" borderId="10" xfId="0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 wrapText="1"/>
    </xf>
    <xf numFmtId="0" fontId="29" fillId="24" borderId="0" xfId="0" applyFont="1" applyFill="1" applyAlignment="1">
      <alignment/>
    </xf>
    <xf numFmtId="0" fontId="29" fillId="0" borderId="0" xfId="0" applyFont="1" applyAlignment="1">
      <alignment vertical="center"/>
    </xf>
    <xf numFmtId="4" fontId="30" fillId="24" borderId="0" xfId="0" applyNumberFormat="1" applyFont="1" applyFill="1" applyAlignment="1">
      <alignment horizontal="center" wrapText="1"/>
    </xf>
    <xf numFmtId="0" fontId="30" fillId="24" borderId="0" xfId="0" applyFont="1" applyFill="1" applyAlignment="1">
      <alignment horizontal="center" wrapText="1"/>
    </xf>
    <xf numFmtId="0" fontId="29" fillId="24" borderId="10" xfId="0" applyFont="1" applyFill="1" applyBorder="1" applyAlignment="1">
      <alignment horizontal="center"/>
    </xf>
    <xf numFmtId="4" fontId="29" fillId="25" borderId="10" xfId="0" applyNumberFormat="1" applyFont="1" applyFill="1" applyBorder="1" applyAlignment="1">
      <alignment/>
    </xf>
    <xf numFmtId="4" fontId="29" fillId="25" borderId="10" xfId="0" applyNumberFormat="1" applyFont="1" applyFill="1" applyBorder="1" applyAlignment="1">
      <alignment horizontal="right"/>
    </xf>
    <xf numFmtId="4" fontId="29" fillId="26" borderId="10" xfId="0" applyNumberFormat="1" applyFont="1" applyFill="1" applyBorder="1" applyAlignment="1">
      <alignment/>
    </xf>
    <xf numFmtId="4" fontId="29" fillId="26" borderId="10" xfId="0" applyNumberFormat="1" applyFont="1" applyFill="1" applyBorder="1" applyAlignment="1">
      <alignment horizontal="right"/>
    </xf>
    <xf numFmtId="4" fontId="29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/>
    </xf>
    <xf numFmtId="4" fontId="29" fillId="27" borderId="10" xfId="0" applyNumberFormat="1" applyFont="1" applyFill="1" applyBorder="1" applyAlignment="1">
      <alignment/>
    </xf>
    <xf numFmtId="0" fontId="29" fillId="0" borderId="0" xfId="0" applyFont="1" applyAlignment="1">
      <alignment horizontal="right" vertical="center" indent="1"/>
    </xf>
    <xf numFmtId="0" fontId="29" fillId="0" borderId="0" xfId="0" applyFont="1" applyAlignment="1">
      <alignment horizontal="left" vertical="center" indent="1"/>
    </xf>
    <xf numFmtId="0" fontId="29" fillId="24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left" vertical="center" indent="1"/>
    </xf>
    <xf numFmtId="0" fontId="29" fillId="24" borderId="0" xfId="0" applyFont="1" applyFill="1" applyAlignment="1">
      <alignment horizontal="left" vertical="center" indent="1"/>
    </xf>
    <xf numFmtId="0" fontId="26" fillId="24" borderId="0" xfId="0" applyFont="1" applyFill="1" applyAlignment="1">
      <alignment horizontal="center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27" borderId="13" xfId="0" applyFont="1" applyFill="1" applyBorder="1" applyAlignment="1">
      <alignment horizontal="center" vertical="center" wrapText="1"/>
    </xf>
    <xf numFmtId="0" fontId="20" fillId="27" borderId="12" xfId="0" applyFont="1" applyFill="1" applyBorder="1" applyAlignment="1">
      <alignment horizontal="center" vertical="center" wrapText="1"/>
    </xf>
    <xf numFmtId="0" fontId="20" fillId="27" borderId="14" xfId="0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/>
    </xf>
    <xf numFmtId="0" fontId="19" fillId="27" borderId="16" xfId="0" applyFont="1" applyFill="1" applyBorder="1" applyAlignment="1">
      <alignment horizontal="center" vertical="center"/>
    </xf>
    <xf numFmtId="0" fontId="19" fillId="27" borderId="17" xfId="0" applyFont="1" applyFill="1" applyBorder="1" applyAlignment="1">
      <alignment horizontal="center" vertical="center"/>
    </xf>
    <xf numFmtId="0" fontId="19" fillId="27" borderId="11" xfId="0" applyFont="1" applyFill="1" applyBorder="1" applyAlignment="1">
      <alignment horizontal="center" vertical="center"/>
    </xf>
    <xf numFmtId="0" fontId="19" fillId="27" borderId="0" xfId="0" applyFont="1" applyFill="1" applyBorder="1" applyAlignment="1">
      <alignment horizontal="center" vertical="center"/>
    </xf>
    <xf numFmtId="0" fontId="19" fillId="27" borderId="18" xfId="0" applyFont="1" applyFill="1" applyBorder="1" applyAlignment="1">
      <alignment horizontal="center" vertical="center"/>
    </xf>
    <xf numFmtId="0" fontId="19" fillId="27" borderId="19" xfId="0" applyFont="1" applyFill="1" applyBorder="1" applyAlignment="1">
      <alignment horizontal="center" vertical="center"/>
    </xf>
    <xf numFmtId="0" fontId="19" fillId="27" borderId="20" xfId="0" applyFont="1" applyFill="1" applyBorder="1" applyAlignment="1">
      <alignment horizontal="center" vertical="center"/>
    </xf>
    <xf numFmtId="0" fontId="19" fillId="27" borderId="21" xfId="0" applyFont="1" applyFill="1" applyBorder="1" applyAlignment="1">
      <alignment horizontal="center" vertical="center"/>
    </xf>
    <xf numFmtId="0" fontId="19" fillId="25" borderId="13" xfId="0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 vertical="center" wrapText="1"/>
    </xf>
    <xf numFmtId="0" fontId="19" fillId="25" borderId="14" xfId="0" applyFont="1" applyFill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left" vertical="center" wrapText="1"/>
    </xf>
    <xf numFmtId="0" fontId="19" fillId="25" borderId="12" xfId="0" applyFont="1" applyFill="1" applyBorder="1" applyAlignment="1">
      <alignment horizontal="left" vertical="center" wrapText="1"/>
    </xf>
    <xf numFmtId="0" fontId="19" fillId="25" borderId="14" xfId="0" applyFont="1" applyFill="1" applyBorder="1" applyAlignment="1">
      <alignment horizontal="left" vertical="center" wrapText="1"/>
    </xf>
    <xf numFmtId="0" fontId="20" fillId="25" borderId="13" xfId="0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center" vertical="center" wrapText="1"/>
    </xf>
    <xf numFmtId="0" fontId="20" fillId="25" borderId="14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wrapText="1"/>
    </xf>
    <xf numFmtId="0" fontId="19" fillId="26" borderId="13" xfId="0" applyFont="1" applyFill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vertical="center" wrapText="1"/>
    </xf>
    <xf numFmtId="0" fontId="20" fillId="26" borderId="13" xfId="0" applyFont="1" applyFill="1" applyBorder="1" applyAlignment="1">
      <alignment horizontal="center" vertical="center" wrapText="1"/>
    </xf>
    <xf numFmtId="0" fontId="20" fillId="26" borderId="12" xfId="0" applyFont="1" applyFill="1" applyBorder="1" applyAlignment="1">
      <alignment horizontal="center" vertical="center" wrapText="1"/>
    </xf>
    <xf numFmtId="0" fontId="20" fillId="26" borderId="14" xfId="0" applyFont="1" applyFill="1" applyBorder="1" applyAlignment="1">
      <alignment horizontal="center" vertical="center" wrapText="1"/>
    </xf>
    <xf numFmtId="14" fontId="20" fillId="24" borderId="13" xfId="0" applyNumberFormat="1" applyFont="1" applyFill="1" applyBorder="1" applyAlignment="1">
      <alignment horizontal="center" vertical="center" wrapText="1"/>
    </xf>
    <xf numFmtId="0" fontId="19" fillId="25" borderId="13" xfId="0" applyFont="1" applyFill="1" applyBorder="1" applyAlignment="1">
      <alignment vertical="center" wrapText="1"/>
    </xf>
    <xf numFmtId="0" fontId="19" fillId="25" borderId="12" xfId="0" applyFont="1" applyFill="1" applyBorder="1" applyAlignment="1">
      <alignment vertical="center" wrapText="1"/>
    </xf>
    <xf numFmtId="0" fontId="19" fillId="25" borderId="14" xfId="0" applyFont="1" applyFill="1" applyBorder="1" applyAlignment="1">
      <alignment vertical="center" wrapText="1"/>
    </xf>
    <xf numFmtId="0" fontId="19" fillId="26" borderId="13" xfId="0" applyFont="1" applyFill="1" applyBorder="1" applyAlignment="1">
      <alignment horizontal="center" vertical="center"/>
    </xf>
    <xf numFmtId="0" fontId="19" fillId="26" borderId="12" xfId="0" applyFont="1" applyFill="1" applyBorder="1" applyAlignment="1">
      <alignment horizontal="center" vertical="center"/>
    </xf>
    <xf numFmtId="0" fontId="21" fillId="24" borderId="0" xfId="0" applyFont="1" applyFill="1" applyAlignment="1">
      <alignment horizontal="right" wrapText="1"/>
    </xf>
    <xf numFmtId="0" fontId="19" fillId="24" borderId="0" xfId="0" applyFont="1" applyFill="1" applyAlignment="1">
      <alignment horizontal="center" vertical="center" wrapText="1"/>
    </xf>
    <xf numFmtId="0" fontId="24" fillId="26" borderId="13" xfId="0" applyFont="1" applyFill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 wrapText="1"/>
    </xf>
    <xf numFmtId="0" fontId="24" fillId="26" borderId="14" xfId="0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25" borderId="13" xfId="0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left" vertical="center" wrapText="1" indent="1"/>
    </xf>
    <xf numFmtId="0" fontId="29" fillId="24" borderId="12" xfId="0" applyFont="1" applyFill="1" applyBorder="1" applyAlignment="1">
      <alignment horizontal="left" vertical="center" wrapText="1" inden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9" fillId="24" borderId="14" xfId="0" applyFont="1" applyFill="1" applyBorder="1" applyAlignment="1">
      <alignment horizontal="left" vertical="center" wrapText="1" indent="1"/>
    </xf>
    <xf numFmtId="0" fontId="29" fillId="24" borderId="13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center" wrapText="1" indent="1"/>
    </xf>
    <xf numFmtId="0" fontId="29" fillId="24" borderId="10" xfId="0" applyFont="1" applyFill="1" applyBorder="1" applyAlignment="1">
      <alignment horizontal="left" vertical="center" inden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vertical="center" wrapText="1"/>
    </xf>
    <xf numFmtId="0" fontId="28" fillId="26" borderId="13" xfId="0" applyFont="1" applyFill="1" applyBorder="1" applyAlignment="1">
      <alignment horizontal="left" vertical="center" wrapText="1"/>
    </xf>
    <xf numFmtId="0" fontId="28" fillId="26" borderId="12" xfId="0" applyFont="1" applyFill="1" applyBorder="1" applyAlignment="1">
      <alignment horizontal="left" vertical="center" wrapText="1"/>
    </xf>
    <xf numFmtId="0" fontId="28" fillId="26" borderId="14" xfId="0" applyFont="1" applyFill="1" applyBorder="1" applyAlignment="1">
      <alignment horizontal="left" vertical="center" wrapText="1"/>
    </xf>
    <xf numFmtId="0" fontId="28" fillId="26" borderId="13" xfId="0" applyFont="1" applyFill="1" applyBorder="1" applyAlignment="1">
      <alignment vertical="center" wrapText="1"/>
    </xf>
    <xf numFmtId="0" fontId="28" fillId="26" borderId="12" xfId="0" applyFont="1" applyFill="1" applyBorder="1" applyAlignment="1">
      <alignment vertical="center" wrapText="1"/>
    </xf>
    <xf numFmtId="0" fontId="28" fillId="24" borderId="22" xfId="0" applyFont="1" applyFill="1" applyBorder="1" applyAlignment="1">
      <alignment horizontal="center" vertical="center" wrapText="1"/>
    </xf>
    <xf numFmtId="0" fontId="28" fillId="24" borderId="23" xfId="0" applyFont="1" applyFill="1" applyBorder="1" applyAlignment="1">
      <alignment horizontal="center" vertical="center" wrapText="1"/>
    </xf>
    <xf numFmtId="0" fontId="28" fillId="24" borderId="24" xfId="0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4" fontId="30" fillId="24" borderId="13" xfId="0" applyNumberFormat="1" applyFont="1" applyFill="1" applyBorder="1" applyAlignment="1">
      <alignment horizontal="center" vertical="center"/>
    </xf>
    <xf numFmtId="4" fontId="30" fillId="24" borderId="12" xfId="0" applyNumberFormat="1" applyFont="1" applyFill="1" applyBorder="1" applyAlignment="1">
      <alignment horizontal="center" vertical="center"/>
    </xf>
    <xf numFmtId="4" fontId="30" fillId="24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240"/>
  <sheetViews>
    <sheetView tabSelected="1" view="pageBreakPreview" zoomScale="80" zoomScaleSheetLayoutView="80" zoomScalePageLayoutView="0" workbookViewId="0" topLeftCell="A1">
      <pane xSplit="7" ySplit="7" topLeftCell="H215" activePane="bottomRight" state="frozen"/>
      <selection pane="topLeft" activeCell="A1" sqref="A1"/>
      <selection pane="topRight" activeCell="G1" sqref="G1"/>
      <selection pane="bottomLeft" activeCell="A8" sqref="A8"/>
      <selection pane="bottomRight" activeCell="J53" sqref="J53"/>
    </sheetView>
  </sheetViews>
  <sheetFormatPr defaultColWidth="9.140625" defaultRowHeight="12.75"/>
  <cols>
    <col min="1" max="1" width="7.28125" style="2" customWidth="1"/>
    <col min="2" max="2" width="51.00390625" style="26" customWidth="1"/>
    <col min="3" max="3" width="14.28125" style="21" customWidth="1"/>
    <col min="4" max="4" width="18.7109375" style="2" customWidth="1"/>
    <col min="5" max="5" width="10.8515625" style="2" customWidth="1"/>
    <col min="6" max="6" width="26.8515625" style="2" customWidth="1"/>
    <col min="7" max="12" width="19.421875" style="29" customWidth="1"/>
    <col min="13" max="13" width="65.7109375" style="45" customWidth="1"/>
    <col min="14" max="14" width="20.7109375" style="2" customWidth="1"/>
    <col min="15" max="15" width="17.140625" style="2" hidden="1" customWidth="1"/>
    <col min="16" max="16" width="13.00390625" style="2" hidden="1" customWidth="1"/>
    <col min="17" max="17" width="11.7109375" style="2" hidden="1" customWidth="1"/>
    <col min="18" max="22" width="9.140625" style="2" hidden="1" customWidth="1"/>
    <col min="23" max="25" width="9.140625" style="2" customWidth="1"/>
    <col min="26" max="26" width="11.7109375" style="2" bestFit="1" customWidth="1"/>
    <col min="27" max="16384" width="9.140625" style="2" customWidth="1"/>
  </cols>
  <sheetData>
    <row r="1" spans="1:16" ht="16.5">
      <c r="A1" s="1"/>
      <c r="K1" s="87" t="s">
        <v>0</v>
      </c>
      <c r="L1" s="87"/>
      <c r="M1" s="87"/>
      <c r="N1" s="3"/>
      <c r="O1" s="3"/>
      <c r="P1" s="3"/>
    </row>
    <row r="2" spans="1:14" ht="16.5">
      <c r="A2" s="1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30"/>
      <c r="M2" s="41" t="s">
        <v>117</v>
      </c>
      <c r="N2" s="3"/>
    </row>
    <row r="3" spans="1:13" ht="16.5">
      <c r="A3" s="1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31"/>
      <c r="M3" s="41" t="s">
        <v>118</v>
      </c>
    </row>
    <row r="4" spans="1:13" ht="15.75" customHeight="1">
      <c r="A4" s="1"/>
      <c r="B4" s="88" t="s">
        <v>116</v>
      </c>
      <c r="C4" s="88"/>
      <c r="D4" s="88"/>
      <c r="E4" s="88"/>
      <c r="F4" s="88"/>
      <c r="G4" s="88"/>
      <c r="H4" s="88"/>
      <c r="I4" s="88"/>
      <c r="J4" s="88"/>
      <c r="K4" s="88"/>
      <c r="L4" s="32"/>
      <c r="M4" s="42"/>
    </row>
    <row r="5" spans="1:13" ht="16.5">
      <c r="A5" s="1"/>
      <c r="M5" s="42"/>
    </row>
    <row r="6" spans="1:13" s="46" customFormat="1" ht="21.75" customHeight="1">
      <c r="A6" s="134" t="s">
        <v>3</v>
      </c>
      <c r="B6" s="134" t="s">
        <v>4</v>
      </c>
      <c r="C6" s="134" t="s">
        <v>5</v>
      </c>
      <c r="D6" s="134" t="s">
        <v>123</v>
      </c>
      <c r="E6" s="134" t="s">
        <v>6</v>
      </c>
      <c r="F6" s="134" t="s">
        <v>7</v>
      </c>
      <c r="G6" s="131" t="s">
        <v>8</v>
      </c>
      <c r="H6" s="132"/>
      <c r="I6" s="132"/>
      <c r="J6" s="132"/>
      <c r="K6" s="132"/>
      <c r="L6" s="133"/>
      <c r="M6" s="134" t="s">
        <v>9</v>
      </c>
    </row>
    <row r="7" spans="1:13" s="46" customFormat="1" ht="21.75" customHeight="1">
      <c r="A7" s="135"/>
      <c r="B7" s="135"/>
      <c r="C7" s="135"/>
      <c r="D7" s="135"/>
      <c r="E7" s="135"/>
      <c r="F7" s="135"/>
      <c r="G7" s="28" t="s">
        <v>10</v>
      </c>
      <c r="H7" s="27">
        <v>2020</v>
      </c>
      <c r="I7" s="27">
        <v>2021</v>
      </c>
      <c r="J7" s="27">
        <v>2022</v>
      </c>
      <c r="K7" s="27">
        <v>2023</v>
      </c>
      <c r="L7" s="27">
        <v>2024</v>
      </c>
      <c r="M7" s="135"/>
    </row>
    <row r="8" spans="1:13" s="21" customFormat="1" ht="21.75" customHeight="1">
      <c r="A8" s="4">
        <v>1</v>
      </c>
      <c r="B8" s="5">
        <v>2</v>
      </c>
      <c r="C8" s="5">
        <v>3</v>
      </c>
      <c r="D8" s="5"/>
      <c r="E8" s="5">
        <v>4</v>
      </c>
      <c r="F8" s="5">
        <v>5</v>
      </c>
      <c r="G8" s="33">
        <v>6</v>
      </c>
      <c r="H8" s="33">
        <v>9</v>
      </c>
      <c r="I8" s="33">
        <v>10</v>
      </c>
      <c r="J8" s="33">
        <v>10</v>
      </c>
      <c r="K8" s="33">
        <v>9</v>
      </c>
      <c r="L8" s="33">
        <v>10</v>
      </c>
      <c r="M8" s="43">
        <v>11</v>
      </c>
    </row>
    <row r="9" spans="1:14" ht="30.75" customHeight="1">
      <c r="A9" s="65" t="s">
        <v>11</v>
      </c>
      <c r="B9" s="82" t="s">
        <v>149</v>
      </c>
      <c r="C9" s="71" t="s">
        <v>127</v>
      </c>
      <c r="D9" s="92" t="s">
        <v>124</v>
      </c>
      <c r="E9" s="71" t="s">
        <v>105</v>
      </c>
      <c r="F9" s="6" t="s">
        <v>12</v>
      </c>
      <c r="G9" s="34">
        <f aca="true" t="shared" si="0" ref="G9:L9">G10+G11+G12</f>
        <v>4715193719.235985</v>
      </c>
      <c r="H9" s="34">
        <f t="shared" si="0"/>
        <v>910578010.55</v>
      </c>
      <c r="I9" s="34">
        <f t="shared" si="0"/>
        <v>935976877</v>
      </c>
      <c r="J9" s="34">
        <f t="shared" si="0"/>
        <v>973076223</v>
      </c>
      <c r="K9" s="34">
        <f t="shared" si="0"/>
        <v>947781304.3429922</v>
      </c>
      <c r="L9" s="34">
        <f t="shared" si="0"/>
        <v>947781304.3429922</v>
      </c>
      <c r="M9" s="136"/>
      <c r="N9" s="3"/>
    </row>
    <row r="10" spans="1:14" ht="30.75" customHeight="1">
      <c r="A10" s="66"/>
      <c r="B10" s="83"/>
      <c r="C10" s="72"/>
      <c r="D10" s="93"/>
      <c r="E10" s="72"/>
      <c r="F10" s="6" t="s">
        <v>13</v>
      </c>
      <c r="G10" s="34">
        <f>H10+I10+J10+K10+L10</f>
        <v>1199321355.7259846</v>
      </c>
      <c r="H10" s="35">
        <f aca="true" t="shared" si="1" ref="H10:L12">H14+H34+H74+H86+H110</f>
        <v>233026373.04000002</v>
      </c>
      <c r="I10" s="35">
        <f t="shared" si="1"/>
        <v>237109477</v>
      </c>
      <c r="J10" s="35">
        <f t="shared" si="1"/>
        <v>243008523.00000003</v>
      </c>
      <c r="K10" s="35">
        <f t="shared" si="1"/>
        <v>243088491.34299222</v>
      </c>
      <c r="L10" s="35">
        <f t="shared" si="1"/>
        <v>243088491.34299222</v>
      </c>
      <c r="M10" s="137"/>
      <c r="N10" s="3"/>
    </row>
    <row r="11" spans="1:14" ht="30.75" customHeight="1">
      <c r="A11" s="66"/>
      <c r="B11" s="83"/>
      <c r="C11" s="72"/>
      <c r="D11" s="93"/>
      <c r="E11" s="72"/>
      <c r="F11" s="6" t="s">
        <v>14</v>
      </c>
      <c r="G11" s="34">
        <f>H11+I11+J11+K11+L11</f>
        <v>3434538829.51</v>
      </c>
      <c r="H11" s="35">
        <f t="shared" si="1"/>
        <v>657440703.51</v>
      </c>
      <c r="I11" s="35">
        <f t="shared" si="1"/>
        <v>668189700</v>
      </c>
      <c r="J11" s="35">
        <f t="shared" si="1"/>
        <v>699522800</v>
      </c>
      <c r="K11" s="35">
        <f t="shared" si="1"/>
        <v>704692813</v>
      </c>
      <c r="L11" s="35">
        <f t="shared" si="1"/>
        <v>704692813</v>
      </c>
      <c r="M11" s="137"/>
      <c r="N11" s="3"/>
    </row>
    <row r="12" spans="1:14" ht="30.75" customHeight="1">
      <c r="A12" s="67"/>
      <c r="B12" s="84"/>
      <c r="C12" s="73"/>
      <c r="D12" s="94"/>
      <c r="E12" s="73"/>
      <c r="F12" s="6" t="s">
        <v>15</v>
      </c>
      <c r="G12" s="34">
        <f>H12+I12+J12+K12+L12</f>
        <v>81333534</v>
      </c>
      <c r="H12" s="35">
        <f t="shared" si="1"/>
        <v>20110934</v>
      </c>
      <c r="I12" s="35">
        <f t="shared" si="1"/>
        <v>30677700</v>
      </c>
      <c r="J12" s="35">
        <f t="shared" si="1"/>
        <v>30544900</v>
      </c>
      <c r="K12" s="35">
        <f t="shared" si="1"/>
        <v>0</v>
      </c>
      <c r="L12" s="35">
        <f t="shared" si="1"/>
        <v>0</v>
      </c>
      <c r="M12" s="138"/>
      <c r="N12" s="3"/>
    </row>
    <row r="13" spans="1:14" ht="21.75" customHeight="1">
      <c r="A13" s="85" t="s">
        <v>16</v>
      </c>
      <c r="B13" s="129" t="s">
        <v>17</v>
      </c>
      <c r="C13" s="78" t="s">
        <v>127</v>
      </c>
      <c r="D13" s="89" t="s">
        <v>124</v>
      </c>
      <c r="E13" s="78" t="s">
        <v>105</v>
      </c>
      <c r="F13" s="7" t="s">
        <v>12</v>
      </c>
      <c r="G13" s="36">
        <f aca="true" t="shared" si="2" ref="G13:L13">G14+G15+G16</f>
        <v>1607763321.5842102</v>
      </c>
      <c r="H13" s="36">
        <f t="shared" si="2"/>
        <v>300182352.24</v>
      </c>
      <c r="I13" s="36">
        <f t="shared" si="2"/>
        <v>316017112.002</v>
      </c>
      <c r="J13" s="36">
        <f t="shared" si="2"/>
        <v>327740202</v>
      </c>
      <c r="K13" s="36">
        <f t="shared" si="2"/>
        <v>331911827.671105</v>
      </c>
      <c r="L13" s="36">
        <f t="shared" si="2"/>
        <v>331911827.671105</v>
      </c>
      <c r="M13" s="110" t="s">
        <v>157</v>
      </c>
      <c r="N13" s="3"/>
    </row>
    <row r="14" spans="1:14" ht="21.75" customHeight="1">
      <c r="A14" s="86"/>
      <c r="B14" s="130"/>
      <c r="C14" s="79"/>
      <c r="D14" s="90"/>
      <c r="E14" s="79"/>
      <c r="F14" s="7" t="s">
        <v>13</v>
      </c>
      <c r="G14" s="36">
        <f>H14+I14+J14+K14+L14</f>
        <v>504357267.5842101</v>
      </c>
      <c r="H14" s="37">
        <f aca="true" t="shared" si="3" ref="H14:L16">H18+H22+H26+H30</f>
        <v>97130453.24000001</v>
      </c>
      <c r="I14" s="37">
        <f t="shared" si="3"/>
        <v>99916049.002</v>
      </c>
      <c r="J14" s="37">
        <f t="shared" si="3"/>
        <v>102065594.00000001</v>
      </c>
      <c r="K14" s="37">
        <f t="shared" si="3"/>
        <v>102622585.67110501</v>
      </c>
      <c r="L14" s="37">
        <f t="shared" si="3"/>
        <v>102622585.67110501</v>
      </c>
      <c r="M14" s="111"/>
      <c r="N14" s="3"/>
    </row>
    <row r="15" spans="1:14" ht="21.75" customHeight="1">
      <c r="A15" s="86"/>
      <c r="B15" s="130"/>
      <c r="C15" s="79"/>
      <c r="D15" s="90"/>
      <c r="E15" s="79"/>
      <c r="F15" s="7" t="s">
        <v>14</v>
      </c>
      <c r="G15" s="36">
        <f>H15+I15+J15+K15+L15</f>
        <v>1103406054</v>
      </c>
      <c r="H15" s="37">
        <f t="shared" si="3"/>
        <v>203051899</v>
      </c>
      <c r="I15" s="37">
        <f t="shared" si="3"/>
        <v>216101063</v>
      </c>
      <c r="J15" s="37">
        <f t="shared" si="3"/>
        <v>225674608</v>
      </c>
      <c r="K15" s="37">
        <f t="shared" si="3"/>
        <v>229289242</v>
      </c>
      <c r="L15" s="37">
        <f t="shared" si="3"/>
        <v>229289242</v>
      </c>
      <c r="M15" s="111"/>
      <c r="N15" s="3"/>
    </row>
    <row r="16" spans="1:14" ht="21.75" customHeight="1">
      <c r="A16" s="86"/>
      <c r="B16" s="130"/>
      <c r="C16" s="79"/>
      <c r="D16" s="91"/>
      <c r="E16" s="79"/>
      <c r="F16" s="7" t="s">
        <v>15</v>
      </c>
      <c r="G16" s="36">
        <f>H16+I16+J16+K16+L16</f>
        <v>0</v>
      </c>
      <c r="H16" s="37">
        <f t="shared" si="3"/>
        <v>0</v>
      </c>
      <c r="I16" s="37">
        <f t="shared" si="3"/>
        <v>0</v>
      </c>
      <c r="J16" s="37">
        <f t="shared" si="3"/>
        <v>0</v>
      </c>
      <c r="K16" s="37">
        <f t="shared" si="3"/>
        <v>0</v>
      </c>
      <c r="L16" s="37">
        <f t="shared" si="3"/>
        <v>0</v>
      </c>
      <c r="M16" s="111"/>
      <c r="N16" s="3"/>
    </row>
    <row r="17" spans="1:14" ht="21.75" customHeight="1">
      <c r="A17" s="81" t="s">
        <v>18</v>
      </c>
      <c r="B17" s="123" t="s">
        <v>19</v>
      </c>
      <c r="C17" s="50" t="s">
        <v>127</v>
      </c>
      <c r="D17" s="98" t="s">
        <v>124</v>
      </c>
      <c r="E17" s="50" t="s">
        <v>105</v>
      </c>
      <c r="F17" s="20" t="s">
        <v>12</v>
      </c>
      <c r="G17" s="38">
        <f aca="true" t="shared" si="4" ref="G17:L17">G18+G19+G20</f>
        <v>1463449003.5842102</v>
      </c>
      <c r="H17" s="38">
        <f t="shared" si="4"/>
        <v>272213210.24</v>
      </c>
      <c r="I17" s="38">
        <f t="shared" si="4"/>
        <v>287305818.002</v>
      </c>
      <c r="J17" s="38">
        <f t="shared" si="4"/>
        <v>298528908</v>
      </c>
      <c r="K17" s="38">
        <f t="shared" si="4"/>
        <v>302700533.671105</v>
      </c>
      <c r="L17" s="38">
        <f t="shared" si="4"/>
        <v>302700533.671105</v>
      </c>
      <c r="M17" s="111"/>
      <c r="N17" s="3"/>
    </row>
    <row r="18" spans="1:14" ht="21.75" customHeight="1">
      <c r="A18" s="48"/>
      <c r="B18" s="124"/>
      <c r="C18" s="51"/>
      <c r="D18" s="99"/>
      <c r="E18" s="51"/>
      <c r="F18" s="20" t="s">
        <v>13</v>
      </c>
      <c r="G18" s="38">
        <f>H18+I18+J18+K18+L18</f>
        <v>500454997.5842101</v>
      </c>
      <c r="H18" s="38">
        <f>99904753-H158-1277362-556991-475000-96492.96-111268-512639.8</f>
        <v>96349999.24000001</v>
      </c>
      <c r="I18" s="38">
        <v>99135595.002</v>
      </c>
      <c r="J18" s="38">
        <v>101285140.00000001</v>
      </c>
      <c r="K18" s="38">
        <v>101842131.67110501</v>
      </c>
      <c r="L18" s="38">
        <v>101842131.67110501</v>
      </c>
      <c r="M18" s="111"/>
      <c r="N18" s="3"/>
    </row>
    <row r="19" spans="1:14" ht="21.75" customHeight="1">
      <c r="A19" s="48"/>
      <c r="B19" s="124"/>
      <c r="C19" s="51"/>
      <c r="D19" s="99"/>
      <c r="E19" s="51"/>
      <c r="F19" s="20" t="s">
        <v>14</v>
      </c>
      <c r="G19" s="38">
        <f>H19+I19+J19+K19+L19</f>
        <v>962994006</v>
      </c>
      <c r="H19" s="38">
        <f>175991111-127900</f>
        <v>175863211</v>
      </c>
      <c r="I19" s="38">
        <v>188170223</v>
      </c>
      <c r="J19" s="38">
        <v>197243768</v>
      </c>
      <c r="K19" s="38">
        <v>200858402</v>
      </c>
      <c r="L19" s="38">
        <v>200858402</v>
      </c>
      <c r="M19" s="111"/>
      <c r="N19" s="3"/>
    </row>
    <row r="20" spans="1:14" ht="21.75" customHeight="1">
      <c r="A20" s="48"/>
      <c r="B20" s="124"/>
      <c r="C20" s="51"/>
      <c r="D20" s="100"/>
      <c r="E20" s="51"/>
      <c r="F20" s="20" t="s">
        <v>15</v>
      </c>
      <c r="G20" s="38">
        <f>H20+I20+J20+K20+L20</f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111"/>
      <c r="N20" s="3"/>
    </row>
    <row r="21" spans="1:14" ht="21.75" customHeight="1">
      <c r="A21" s="47" t="s">
        <v>20</v>
      </c>
      <c r="B21" s="123" t="s">
        <v>21</v>
      </c>
      <c r="C21" s="50" t="s">
        <v>127</v>
      </c>
      <c r="D21" s="98" t="s">
        <v>124</v>
      </c>
      <c r="E21" s="50" t="s">
        <v>105</v>
      </c>
      <c r="F21" s="20" t="s">
        <v>12</v>
      </c>
      <c r="G21" s="38">
        <f aca="true" t="shared" si="5" ref="G21:L21">G22+G23+G24</f>
        <v>3902270</v>
      </c>
      <c r="H21" s="38">
        <f t="shared" si="5"/>
        <v>780454</v>
      </c>
      <c r="I21" s="38">
        <f t="shared" si="5"/>
        <v>780454</v>
      </c>
      <c r="J21" s="38">
        <f t="shared" si="5"/>
        <v>780454</v>
      </c>
      <c r="K21" s="38">
        <f t="shared" si="5"/>
        <v>780454</v>
      </c>
      <c r="L21" s="38">
        <f t="shared" si="5"/>
        <v>780454</v>
      </c>
      <c r="M21" s="111"/>
      <c r="N21" s="3"/>
    </row>
    <row r="22" spans="1:17" ht="21.75" customHeight="1">
      <c r="A22" s="48"/>
      <c r="B22" s="124"/>
      <c r="C22" s="51"/>
      <c r="D22" s="99"/>
      <c r="E22" s="51"/>
      <c r="F22" s="20" t="s">
        <v>13</v>
      </c>
      <c r="G22" s="38">
        <f>H22+I22+J22+K22+L22</f>
        <v>3902270</v>
      </c>
      <c r="H22" s="38">
        <v>780454</v>
      </c>
      <c r="I22" s="38">
        <v>780454</v>
      </c>
      <c r="J22" s="38">
        <v>780454</v>
      </c>
      <c r="K22" s="38">
        <v>780454</v>
      </c>
      <c r="L22" s="38">
        <v>780454</v>
      </c>
      <c r="M22" s="111"/>
      <c r="N22" s="3"/>
      <c r="Q22" s="3"/>
    </row>
    <row r="23" spans="1:14" ht="21.75" customHeight="1">
      <c r="A23" s="48"/>
      <c r="B23" s="124"/>
      <c r="C23" s="51"/>
      <c r="D23" s="99"/>
      <c r="E23" s="51"/>
      <c r="F23" s="20" t="s">
        <v>14</v>
      </c>
      <c r="G23" s="38">
        <f>H23+I23+J23+K23+L23</f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111"/>
      <c r="N23" s="3"/>
    </row>
    <row r="24" spans="1:14" ht="21.75" customHeight="1">
      <c r="A24" s="49"/>
      <c r="B24" s="125"/>
      <c r="C24" s="51"/>
      <c r="D24" s="100"/>
      <c r="E24" s="52"/>
      <c r="F24" s="20" t="s">
        <v>15</v>
      </c>
      <c r="G24" s="38">
        <f>H24+I24+J24+K24+L24</f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111"/>
      <c r="N24" s="3"/>
    </row>
    <row r="25" spans="1:14" ht="21.75" customHeight="1">
      <c r="A25" s="47" t="s">
        <v>22</v>
      </c>
      <c r="B25" s="123" t="s">
        <v>23</v>
      </c>
      <c r="C25" s="50" t="s">
        <v>127</v>
      </c>
      <c r="D25" s="98" t="s">
        <v>124</v>
      </c>
      <c r="E25" s="50" t="s">
        <v>105</v>
      </c>
      <c r="F25" s="20" t="s">
        <v>12</v>
      </c>
      <c r="G25" s="38">
        <f aca="true" t="shared" si="6" ref="G25:L25">G26+G27+G28</f>
        <v>94492248</v>
      </c>
      <c r="H25" s="38">
        <f t="shared" si="6"/>
        <v>18022488</v>
      </c>
      <c r="I25" s="38">
        <f t="shared" si="6"/>
        <v>18742440</v>
      </c>
      <c r="J25" s="38">
        <f t="shared" si="6"/>
        <v>19242440</v>
      </c>
      <c r="K25" s="38">
        <f t="shared" si="6"/>
        <v>19242440</v>
      </c>
      <c r="L25" s="38">
        <f t="shared" si="6"/>
        <v>19242440</v>
      </c>
      <c r="M25" s="111"/>
      <c r="N25" s="3"/>
    </row>
    <row r="26" spans="1:14" ht="21.75" customHeight="1">
      <c r="A26" s="48"/>
      <c r="B26" s="124"/>
      <c r="C26" s="51"/>
      <c r="D26" s="99"/>
      <c r="E26" s="51"/>
      <c r="F26" s="20" t="s">
        <v>13</v>
      </c>
      <c r="G26" s="38">
        <f>H26+I26+J26+K26+L26</f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111"/>
      <c r="N26" s="3"/>
    </row>
    <row r="27" spans="1:14" ht="21.75" customHeight="1">
      <c r="A27" s="48"/>
      <c r="B27" s="124"/>
      <c r="C27" s="51"/>
      <c r="D27" s="99"/>
      <c r="E27" s="51"/>
      <c r="F27" s="20" t="s">
        <v>14</v>
      </c>
      <c r="G27" s="38">
        <f>H27+I27+J27+K27+L27</f>
        <v>94492248</v>
      </c>
      <c r="H27" s="38">
        <v>18022488</v>
      </c>
      <c r="I27" s="38">
        <f>18242440+500000</f>
        <v>18742440</v>
      </c>
      <c r="J27" s="38">
        <f>18742440+500000</f>
        <v>19242440</v>
      </c>
      <c r="K27" s="38">
        <v>19242440</v>
      </c>
      <c r="L27" s="38">
        <v>19242440</v>
      </c>
      <c r="M27" s="111"/>
      <c r="N27" s="3"/>
    </row>
    <row r="28" spans="1:15" ht="21.75" customHeight="1">
      <c r="A28" s="49"/>
      <c r="B28" s="125"/>
      <c r="C28" s="51"/>
      <c r="D28" s="100"/>
      <c r="E28" s="52"/>
      <c r="F28" s="20" t="s">
        <v>15</v>
      </c>
      <c r="G28" s="38">
        <f>H28+I28+J28+K28+L28</f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111"/>
      <c r="O28" s="3"/>
    </row>
    <row r="29" spans="1:14" ht="21.75" customHeight="1">
      <c r="A29" s="47" t="s">
        <v>106</v>
      </c>
      <c r="B29" s="123" t="s">
        <v>107</v>
      </c>
      <c r="C29" s="50" t="s">
        <v>127</v>
      </c>
      <c r="D29" s="98" t="s">
        <v>124</v>
      </c>
      <c r="E29" s="50" t="s">
        <v>105</v>
      </c>
      <c r="F29" s="20" t="s">
        <v>12</v>
      </c>
      <c r="G29" s="38">
        <f aca="true" t="shared" si="7" ref="G29:L29">G30+G31+G32</f>
        <v>45919800</v>
      </c>
      <c r="H29" s="38">
        <f t="shared" si="7"/>
        <v>9166200</v>
      </c>
      <c r="I29" s="38">
        <f t="shared" si="7"/>
        <v>9188400</v>
      </c>
      <c r="J29" s="38">
        <f t="shared" si="7"/>
        <v>9188400</v>
      </c>
      <c r="K29" s="38">
        <f t="shared" si="7"/>
        <v>9188400</v>
      </c>
      <c r="L29" s="38">
        <f t="shared" si="7"/>
        <v>9188400</v>
      </c>
      <c r="M29" s="111"/>
      <c r="N29" s="3"/>
    </row>
    <row r="30" spans="1:13" ht="21.75" customHeight="1">
      <c r="A30" s="48"/>
      <c r="B30" s="124"/>
      <c r="C30" s="51"/>
      <c r="D30" s="99"/>
      <c r="E30" s="51"/>
      <c r="F30" s="20" t="s">
        <v>13</v>
      </c>
      <c r="G30" s="38">
        <f>H30+I30+J30+K30+L30</f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111"/>
    </row>
    <row r="31" spans="1:13" ht="21.75" customHeight="1">
      <c r="A31" s="48"/>
      <c r="B31" s="124"/>
      <c r="C31" s="51"/>
      <c r="D31" s="99"/>
      <c r="E31" s="51"/>
      <c r="F31" s="20" t="s">
        <v>14</v>
      </c>
      <c r="G31" s="38">
        <f>H31+I31+J31+K31+L31</f>
        <v>45919800</v>
      </c>
      <c r="H31" s="38">
        <v>9166200</v>
      </c>
      <c r="I31" s="38">
        <v>9188400</v>
      </c>
      <c r="J31" s="38">
        <v>9188400</v>
      </c>
      <c r="K31" s="38">
        <v>9188400</v>
      </c>
      <c r="L31" s="38">
        <v>9188400</v>
      </c>
      <c r="M31" s="111"/>
    </row>
    <row r="32" spans="1:15" ht="21.75" customHeight="1">
      <c r="A32" s="49"/>
      <c r="B32" s="125"/>
      <c r="C32" s="51"/>
      <c r="D32" s="100"/>
      <c r="E32" s="52"/>
      <c r="F32" s="20" t="s">
        <v>15</v>
      </c>
      <c r="G32" s="38">
        <f>H32+I32+J32+K32+L32</f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115"/>
      <c r="O32" s="3"/>
    </row>
    <row r="33" spans="1:13" ht="21.75" customHeight="1">
      <c r="A33" s="75" t="s">
        <v>24</v>
      </c>
      <c r="B33" s="126" t="s">
        <v>119</v>
      </c>
      <c r="C33" s="78" t="s">
        <v>127</v>
      </c>
      <c r="D33" s="89" t="s">
        <v>125</v>
      </c>
      <c r="E33" s="78" t="s">
        <v>105</v>
      </c>
      <c r="F33" s="7" t="s">
        <v>12</v>
      </c>
      <c r="G33" s="36">
        <f aca="true" t="shared" si="8" ref="G33:L33">G34+G35+G36</f>
        <v>2652122035.407622</v>
      </c>
      <c r="H33" s="36">
        <f t="shared" si="8"/>
        <v>500473625.55</v>
      </c>
      <c r="I33" s="36">
        <f t="shared" si="8"/>
        <v>536360241.998</v>
      </c>
      <c r="J33" s="36">
        <f t="shared" si="8"/>
        <v>557607153</v>
      </c>
      <c r="K33" s="36">
        <f t="shared" si="8"/>
        <v>528840507.429811</v>
      </c>
      <c r="L33" s="36">
        <f t="shared" si="8"/>
        <v>528840507.429811</v>
      </c>
      <c r="M33" s="110" t="s">
        <v>153</v>
      </c>
    </row>
    <row r="34" spans="1:13" ht="21.75" customHeight="1">
      <c r="A34" s="76"/>
      <c r="B34" s="127"/>
      <c r="C34" s="79"/>
      <c r="D34" s="90"/>
      <c r="E34" s="79"/>
      <c r="F34" s="7" t="s">
        <v>13</v>
      </c>
      <c r="G34" s="36">
        <f>H34+I34+J34+K34+L34</f>
        <v>625120819.407622</v>
      </c>
      <c r="H34" s="36">
        <f>H38+H42+H46+H50+H54+H58+H62+H66+H70</f>
        <v>114060571.55</v>
      </c>
      <c r="I34" s="36">
        <f>I38+I42+I46+I50+I54+I58+I62+I66+I70</f>
        <v>125531431.998</v>
      </c>
      <c r="J34" s="36">
        <f>J38+J42+J46+J50+J54+J58+J62+J66+J70</f>
        <v>128880933.00000001</v>
      </c>
      <c r="K34" s="36">
        <f>K38+K42+K46+K50+K54+K58+K62+K66+K70</f>
        <v>128323941.42981102</v>
      </c>
      <c r="L34" s="36">
        <f>L38+L42+L46+L50+L54+L58+L62+L66+L70</f>
        <v>128323941.42981102</v>
      </c>
      <c r="M34" s="111"/>
    </row>
    <row r="35" spans="1:13" ht="21.75" customHeight="1">
      <c r="A35" s="76"/>
      <c r="B35" s="127"/>
      <c r="C35" s="79"/>
      <c r="D35" s="90"/>
      <c r="E35" s="79"/>
      <c r="F35" s="7" t="s">
        <v>14</v>
      </c>
      <c r="G35" s="36">
        <f>H35+I35+J35+K35+L35</f>
        <v>1955508416</v>
      </c>
      <c r="H35" s="36">
        <f aca="true" t="shared" si="9" ref="H35:L36">H39+H43+H47+H51+H55+H59+H63+H67</f>
        <v>376142854</v>
      </c>
      <c r="I35" s="36">
        <f t="shared" si="9"/>
        <v>380151110</v>
      </c>
      <c r="J35" s="36">
        <f t="shared" si="9"/>
        <v>398181320</v>
      </c>
      <c r="K35" s="36">
        <f t="shared" si="9"/>
        <v>400516566</v>
      </c>
      <c r="L35" s="36">
        <f t="shared" si="9"/>
        <v>400516566</v>
      </c>
      <c r="M35" s="111"/>
    </row>
    <row r="36" spans="1:13" ht="21.75" customHeight="1">
      <c r="A36" s="77"/>
      <c r="B36" s="128"/>
      <c r="C36" s="80"/>
      <c r="D36" s="91"/>
      <c r="E36" s="80"/>
      <c r="F36" s="7" t="s">
        <v>15</v>
      </c>
      <c r="G36" s="36">
        <f>H36+I36+J36+K36+L36</f>
        <v>71492800</v>
      </c>
      <c r="H36" s="36">
        <f t="shared" si="9"/>
        <v>10270200</v>
      </c>
      <c r="I36" s="36">
        <f t="shared" si="9"/>
        <v>30677700</v>
      </c>
      <c r="J36" s="36">
        <f t="shared" si="9"/>
        <v>30544900</v>
      </c>
      <c r="K36" s="36">
        <f t="shared" si="9"/>
        <v>0</v>
      </c>
      <c r="L36" s="36">
        <f t="shared" si="9"/>
        <v>0</v>
      </c>
      <c r="M36" s="111"/>
    </row>
    <row r="37" spans="1:13" ht="21.75" customHeight="1">
      <c r="A37" s="47" t="s">
        <v>25</v>
      </c>
      <c r="B37" s="112" t="s">
        <v>26</v>
      </c>
      <c r="C37" s="50" t="s">
        <v>127</v>
      </c>
      <c r="D37" s="98" t="s">
        <v>125</v>
      </c>
      <c r="E37" s="50" t="s">
        <v>105</v>
      </c>
      <c r="F37" s="20" t="s">
        <v>12</v>
      </c>
      <c r="G37" s="38">
        <f aca="true" t="shared" si="10" ref="G37:L37">G38+G39+G40</f>
        <v>3250000</v>
      </c>
      <c r="H37" s="38">
        <f>H38+H39+H40</f>
        <v>650000</v>
      </c>
      <c r="I37" s="38">
        <f>I38+I39+I40</f>
        <v>650000</v>
      </c>
      <c r="J37" s="38">
        <f>J38+J39+J40</f>
        <v>650000</v>
      </c>
      <c r="K37" s="38">
        <f t="shared" si="10"/>
        <v>650000</v>
      </c>
      <c r="L37" s="38">
        <f t="shared" si="10"/>
        <v>650000</v>
      </c>
      <c r="M37" s="111"/>
    </row>
    <row r="38" spans="1:13" ht="21.75" customHeight="1">
      <c r="A38" s="48"/>
      <c r="B38" s="113"/>
      <c r="C38" s="51"/>
      <c r="D38" s="99"/>
      <c r="E38" s="51"/>
      <c r="F38" s="20" t="s">
        <v>13</v>
      </c>
      <c r="G38" s="38">
        <f>H38+I38+J38+K38+L38</f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111"/>
    </row>
    <row r="39" spans="1:13" ht="21.75" customHeight="1">
      <c r="A39" s="48"/>
      <c r="B39" s="113"/>
      <c r="C39" s="51"/>
      <c r="D39" s="99"/>
      <c r="E39" s="51"/>
      <c r="F39" s="20" t="s">
        <v>14</v>
      </c>
      <c r="G39" s="38">
        <f>H39+I39+J39+K39+L39</f>
        <v>3250000</v>
      </c>
      <c r="H39" s="38">
        <v>650000</v>
      </c>
      <c r="I39" s="38">
        <v>650000</v>
      </c>
      <c r="J39" s="38">
        <v>650000</v>
      </c>
      <c r="K39" s="38">
        <v>650000</v>
      </c>
      <c r="L39" s="38">
        <v>650000</v>
      </c>
      <c r="M39" s="111"/>
    </row>
    <row r="40" spans="1:14" ht="21.75" customHeight="1">
      <c r="A40" s="49"/>
      <c r="B40" s="114"/>
      <c r="C40" s="51"/>
      <c r="D40" s="100"/>
      <c r="E40" s="52"/>
      <c r="F40" s="20" t="s">
        <v>15</v>
      </c>
      <c r="G40" s="38">
        <f>H40+I40+J40+K40+L40</f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111"/>
      <c r="N40" s="3"/>
    </row>
    <row r="41" spans="1:15" ht="21.75" customHeight="1">
      <c r="A41" s="47" t="s">
        <v>27</v>
      </c>
      <c r="B41" s="112" t="s">
        <v>28</v>
      </c>
      <c r="C41" s="50" t="s">
        <v>127</v>
      </c>
      <c r="D41" s="98" t="s">
        <v>125</v>
      </c>
      <c r="E41" s="50" t="s">
        <v>105</v>
      </c>
      <c r="F41" s="20" t="s">
        <v>12</v>
      </c>
      <c r="G41" s="38">
        <f aca="true" t="shared" si="11" ref="G41:L41">G42+G43+G44</f>
        <v>43720685</v>
      </c>
      <c r="H41" s="38">
        <f>H42+H43+H44</f>
        <v>8744137</v>
      </c>
      <c r="I41" s="38">
        <f>I42+I43+I44</f>
        <v>8744137</v>
      </c>
      <c r="J41" s="38">
        <f>J42+J43+J44</f>
        <v>8744137</v>
      </c>
      <c r="K41" s="38">
        <f t="shared" si="11"/>
        <v>8744137</v>
      </c>
      <c r="L41" s="38">
        <f t="shared" si="11"/>
        <v>8744137</v>
      </c>
      <c r="M41" s="111"/>
      <c r="O41" s="3"/>
    </row>
    <row r="42" spans="1:13" ht="21.75" customHeight="1">
      <c r="A42" s="48"/>
      <c r="B42" s="113"/>
      <c r="C42" s="51"/>
      <c r="D42" s="99"/>
      <c r="E42" s="51"/>
      <c r="F42" s="20" t="s">
        <v>13</v>
      </c>
      <c r="G42" s="38">
        <f>H42+I42+J42+K42+L42</f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111"/>
    </row>
    <row r="43" spans="1:14" ht="21.75" customHeight="1">
      <c r="A43" s="48"/>
      <c r="B43" s="113"/>
      <c r="C43" s="51"/>
      <c r="D43" s="99"/>
      <c r="E43" s="51"/>
      <c r="F43" s="20" t="s">
        <v>14</v>
      </c>
      <c r="G43" s="38">
        <f>H43+I43+J43+K43+L43</f>
        <v>43720685</v>
      </c>
      <c r="H43" s="38">
        <v>8744137</v>
      </c>
      <c r="I43" s="38">
        <v>8744137</v>
      </c>
      <c r="J43" s="38">
        <v>8744137</v>
      </c>
      <c r="K43" s="38">
        <v>8744137</v>
      </c>
      <c r="L43" s="38">
        <v>8744137</v>
      </c>
      <c r="M43" s="111"/>
      <c r="N43" s="8"/>
    </row>
    <row r="44" spans="1:14" ht="21.75" customHeight="1">
      <c r="A44" s="49"/>
      <c r="B44" s="114"/>
      <c r="C44" s="51"/>
      <c r="D44" s="100"/>
      <c r="E44" s="52"/>
      <c r="F44" s="20" t="s">
        <v>15</v>
      </c>
      <c r="G44" s="38">
        <f>H44+I44+J44+K44+L44</f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111"/>
      <c r="N44" s="9"/>
    </row>
    <row r="45" spans="1:14" ht="21.75" customHeight="1">
      <c r="A45" s="47" t="s">
        <v>29</v>
      </c>
      <c r="B45" s="112" t="s">
        <v>31</v>
      </c>
      <c r="C45" s="50" t="s">
        <v>127</v>
      </c>
      <c r="D45" s="98" t="s">
        <v>125</v>
      </c>
      <c r="E45" s="50" t="s">
        <v>105</v>
      </c>
      <c r="F45" s="20" t="s">
        <v>12</v>
      </c>
      <c r="G45" s="38">
        <f aca="true" t="shared" si="12" ref="G45:L45">G46+G47+G48</f>
        <v>9455460</v>
      </c>
      <c r="H45" s="38">
        <f>H46+H47+H48</f>
        <v>1891092</v>
      </c>
      <c r="I45" s="38">
        <f>I46+I47+I48</f>
        <v>1891092</v>
      </c>
      <c r="J45" s="38">
        <f>J46+J47+J48</f>
        <v>1891092</v>
      </c>
      <c r="K45" s="38">
        <f t="shared" si="12"/>
        <v>1891092</v>
      </c>
      <c r="L45" s="38">
        <f t="shared" si="12"/>
        <v>1891092</v>
      </c>
      <c r="M45" s="111"/>
      <c r="N45" s="9"/>
    </row>
    <row r="46" spans="1:14" ht="21.75" customHeight="1">
      <c r="A46" s="48"/>
      <c r="B46" s="113"/>
      <c r="C46" s="51"/>
      <c r="D46" s="99"/>
      <c r="E46" s="51"/>
      <c r="F46" s="20" t="s">
        <v>13</v>
      </c>
      <c r="G46" s="38">
        <f>H46+I46+J46+K46+L46</f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111"/>
      <c r="N46" s="9"/>
    </row>
    <row r="47" spans="1:14" ht="21.75" customHeight="1">
      <c r="A47" s="48"/>
      <c r="B47" s="113"/>
      <c r="C47" s="51"/>
      <c r="D47" s="99"/>
      <c r="E47" s="51"/>
      <c r="F47" s="20" t="s">
        <v>14</v>
      </c>
      <c r="G47" s="38">
        <f>H47+I47+J47+K47+L47</f>
        <v>9455460</v>
      </c>
      <c r="H47" s="38">
        <v>1891092</v>
      </c>
      <c r="I47" s="38">
        <v>1891092</v>
      </c>
      <c r="J47" s="38">
        <v>1891092</v>
      </c>
      <c r="K47" s="38">
        <v>1891092</v>
      </c>
      <c r="L47" s="38">
        <v>1891092</v>
      </c>
      <c r="M47" s="111"/>
      <c r="N47" s="8"/>
    </row>
    <row r="48" spans="1:13" ht="21.75" customHeight="1">
      <c r="A48" s="49"/>
      <c r="B48" s="114"/>
      <c r="C48" s="51"/>
      <c r="D48" s="100"/>
      <c r="E48" s="52"/>
      <c r="F48" s="20" t="s">
        <v>15</v>
      </c>
      <c r="G48" s="38">
        <f>H48+I48+J48+K48+L48</f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111"/>
    </row>
    <row r="49" spans="1:14" ht="21.75" customHeight="1">
      <c r="A49" s="47" t="s">
        <v>30</v>
      </c>
      <c r="B49" s="123" t="s">
        <v>33</v>
      </c>
      <c r="C49" s="50" t="s">
        <v>127</v>
      </c>
      <c r="D49" s="98" t="s">
        <v>125</v>
      </c>
      <c r="E49" s="50" t="s">
        <v>105</v>
      </c>
      <c r="F49" s="20" t="s">
        <v>12</v>
      </c>
      <c r="G49" s="38">
        <f aca="true" t="shared" si="13" ref="G49:L49">G50+G51+G52</f>
        <v>2408809743.6976223</v>
      </c>
      <c r="H49" s="38">
        <f>H50+H51+H52</f>
        <v>453809614.84000003</v>
      </c>
      <c r="I49" s="38">
        <f>I50+I51+I52</f>
        <v>488208117.998</v>
      </c>
      <c r="J49" s="38">
        <f>J50+J51+J52</f>
        <v>508108434</v>
      </c>
      <c r="K49" s="38">
        <f t="shared" si="13"/>
        <v>479341788.429811</v>
      </c>
      <c r="L49" s="38">
        <f t="shared" si="13"/>
        <v>479341788.429811</v>
      </c>
      <c r="M49" s="111"/>
      <c r="N49" s="3"/>
    </row>
    <row r="50" spans="1:15" ht="21.75" customHeight="1">
      <c r="A50" s="48"/>
      <c r="B50" s="124"/>
      <c r="C50" s="51"/>
      <c r="D50" s="99"/>
      <c r="E50" s="51"/>
      <c r="F50" s="20" t="s">
        <v>13</v>
      </c>
      <c r="G50" s="38">
        <f>H50+I50+J50+K50+L50</f>
        <v>611887690.6976221</v>
      </c>
      <c r="H50" s="38">
        <f>122354395-H122-1832238-H178-H182-H190+556991+1000000-367676.66-728705.28-47250-571000.3-6685944.92</f>
        <v>111420570.84</v>
      </c>
      <c r="I50" s="38">
        <v>122883149.998</v>
      </c>
      <c r="J50" s="38">
        <v>126232651.00000001</v>
      </c>
      <c r="K50" s="38">
        <v>125675659.42981102</v>
      </c>
      <c r="L50" s="38">
        <v>125675659.42981102</v>
      </c>
      <c r="M50" s="111"/>
      <c r="O50" s="10"/>
    </row>
    <row r="51" spans="1:14" ht="21.75" customHeight="1">
      <c r="A51" s="48"/>
      <c r="B51" s="124"/>
      <c r="C51" s="51"/>
      <c r="D51" s="99"/>
      <c r="E51" s="51"/>
      <c r="F51" s="20" t="s">
        <v>14</v>
      </c>
      <c r="G51" s="38">
        <f>H51+I51+J51+K51+L51</f>
        <v>1725429253</v>
      </c>
      <c r="H51" s="38">
        <f>343697157-293084-H39-H43-H47</f>
        <v>332118844</v>
      </c>
      <c r="I51" s="38">
        <f>334647268</f>
        <v>334647268</v>
      </c>
      <c r="J51" s="38">
        <f>351330883</f>
        <v>351330883</v>
      </c>
      <c r="K51" s="38">
        <v>353666129</v>
      </c>
      <c r="L51" s="38">
        <v>353666129</v>
      </c>
      <c r="M51" s="111"/>
      <c r="N51" s="3"/>
    </row>
    <row r="52" spans="1:15" ht="21.75" customHeight="1">
      <c r="A52" s="49"/>
      <c r="B52" s="125"/>
      <c r="C52" s="51"/>
      <c r="D52" s="100"/>
      <c r="E52" s="52"/>
      <c r="F52" s="20" t="s">
        <v>15</v>
      </c>
      <c r="G52" s="38">
        <f>H52+I52+J52+K52+L52</f>
        <v>71492800</v>
      </c>
      <c r="H52" s="38">
        <v>10270200</v>
      </c>
      <c r="I52" s="38">
        <v>30677700</v>
      </c>
      <c r="J52" s="38">
        <v>30544900</v>
      </c>
      <c r="K52" s="38">
        <v>0</v>
      </c>
      <c r="L52" s="38">
        <v>0</v>
      </c>
      <c r="M52" s="111"/>
      <c r="N52" s="9"/>
      <c r="O52" s="11"/>
    </row>
    <row r="53" spans="1:13" ht="21.75" customHeight="1">
      <c r="A53" s="47" t="s">
        <v>32</v>
      </c>
      <c r="B53" s="123" t="s">
        <v>21</v>
      </c>
      <c r="C53" s="50" t="s">
        <v>127</v>
      </c>
      <c r="D53" s="98" t="s">
        <v>125</v>
      </c>
      <c r="E53" s="50" t="s">
        <v>105</v>
      </c>
      <c r="F53" s="20" t="s">
        <v>12</v>
      </c>
      <c r="G53" s="38">
        <f aca="true" t="shared" si="14" ref="G53:L53">G54+G55+G56</f>
        <v>5031535</v>
      </c>
      <c r="H53" s="38">
        <f>H54+H55+H56</f>
        <v>1006307</v>
      </c>
      <c r="I53" s="38">
        <f>I54+I55+I56</f>
        <v>1006307</v>
      </c>
      <c r="J53" s="38">
        <f>J54+J55+J56</f>
        <v>1006307</v>
      </c>
      <c r="K53" s="38">
        <f t="shared" si="14"/>
        <v>1006307</v>
      </c>
      <c r="L53" s="38">
        <f t="shared" si="14"/>
        <v>1006307</v>
      </c>
      <c r="M53" s="111"/>
    </row>
    <row r="54" spans="1:13" ht="21.75" customHeight="1">
      <c r="A54" s="48"/>
      <c r="B54" s="124"/>
      <c r="C54" s="51"/>
      <c r="D54" s="99"/>
      <c r="E54" s="51"/>
      <c r="F54" s="20" t="s">
        <v>13</v>
      </c>
      <c r="G54" s="38">
        <f>H54+I54+J54+K54+L54</f>
        <v>5031535</v>
      </c>
      <c r="H54" s="38">
        <v>1006307</v>
      </c>
      <c r="I54" s="38">
        <v>1006307</v>
      </c>
      <c r="J54" s="38">
        <v>1006307</v>
      </c>
      <c r="K54" s="38">
        <v>1006307</v>
      </c>
      <c r="L54" s="38">
        <v>1006307</v>
      </c>
      <c r="M54" s="111"/>
    </row>
    <row r="55" spans="1:13" ht="21.75" customHeight="1">
      <c r="A55" s="48"/>
      <c r="B55" s="124"/>
      <c r="C55" s="51"/>
      <c r="D55" s="99"/>
      <c r="E55" s="51"/>
      <c r="F55" s="20" t="s">
        <v>14</v>
      </c>
      <c r="G55" s="38">
        <f>H55+I55+J55+K55+L55</f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111"/>
    </row>
    <row r="56" spans="1:13" ht="21.75" customHeight="1">
      <c r="A56" s="49"/>
      <c r="B56" s="125"/>
      <c r="C56" s="51"/>
      <c r="D56" s="100"/>
      <c r="E56" s="52"/>
      <c r="F56" s="20" t="s">
        <v>15</v>
      </c>
      <c r="G56" s="38">
        <f>H56+I56+J56+K56+L56</f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111"/>
    </row>
    <row r="57" spans="1:13" ht="21.75" customHeight="1">
      <c r="A57" s="47" t="s">
        <v>34</v>
      </c>
      <c r="B57" s="123" t="s">
        <v>23</v>
      </c>
      <c r="C57" s="50" t="s">
        <v>127</v>
      </c>
      <c r="D57" s="98" t="s">
        <v>125</v>
      </c>
      <c r="E57" s="50" t="s">
        <v>105</v>
      </c>
      <c r="F57" s="20" t="s">
        <v>12</v>
      </c>
      <c r="G57" s="38">
        <f aca="true" t="shared" si="15" ref="G57:L57">G58+G59+G60</f>
        <v>143265070.71</v>
      </c>
      <c r="H57" s="38">
        <f>H58+H59+H60</f>
        <v>27125450.71</v>
      </c>
      <c r="I57" s="38">
        <f>I58+I59+I60</f>
        <v>28244480</v>
      </c>
      <c r="J57" s="38">
        <f>J58+J59+J60</f>
        <v>29298380</v>
      </c>
      <c r="K57" s="38">
        <f t="shared" si="15"/>
        <v>29298380</v>
      </c>
      <c r="L57" s="38">
        <f t="shared" si="15"/>
        <v>29298380</v>
      </c>
      <c r="M57" s="111"/>
    </row>
    <row r="58" spans="1:13" ht="21.75" customHeight="1">
      <c r="A58" s="48"/>
      <c r="B58" s="124"/>
      <c r="C58" s="51"/>
      <c r="D58" s="99"/>
      <c r="E58" s="51"/>
      <c r="F58" s="20" t="s">
        <v>13</v>
      </c>
      <c r="G58" s="38">
        <f>H58+I58+J58+K58+L58</f>
        <v>491718.71</v>
      </c>
      <c r="H58" s="38">
        <v>91718.71</v>
      </c>
      <c r="I58" s="38">
        <v>100000</v>
      </c>
      <c r="J58" s="38">
        <v>100000</v>
      </c>
      <c r="K58" s="38">
        <v>100000</v>
      </c>
      <c r="L58" s="38">
        <v>100000</v>
      </c>
      <c r="M58" s="111"/>
    </row>
    <row r="59" spans="1:13" ht="21.75" customHeight="1">
      <c r="A59" s="48"/>
      <c r="B59" s="124"/>
      <c r="C59" s="51"/>
      <c r="D59" s="99"/>
      <c r="E59" s="51"/>
      <c r="F59" s="20" t="s">
        <v>14</v>
      </c>
      <c r="G59" s="38">
        <f>H59+I59+J59+K59+L59</f>
        <v>142773352</v>
      </c>
      <c r="H59" s="38">
        <v>27033732</v>
      </c>
      <c r="I59" s="38">
        <f>27644480+500000</f>
        <v>28144480</v>
      </c>
      <c r="J59" s="38">
        <f>28144480+1053900</f>
        <v>29198380</v>
      </c>
      <c r="K59" s="38">
        <v>29198380</v>
      </c>
      <c r="L59" s="38">
        <v>29198380</v>
      </c>
      <c r="M59" s="111"/>
    </row>
    <row r="60" spans="1:13" ht="21.75" customHeight="1">
      <c r="A60" s="49"/>
      <c r="B60" s="125"/>
      <c r="C60" s="51"/>
      <c r="D60" s="100"/>
      <c r="E60" s="52"/>
      <c r="F60" s="20" t="s">
        <v>15</v>
      </c>
      <c r="G60" s="38">
        <f>H60+I60+J60+K60+L60</f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111"/>
    </row>
    <row r="61" spans="1:13" ht="21.75" customHeight="1">
      <c r="A61" s="47" t="s">
        <v>35</v>
      </c>
      <c r="B61" s="112" t="s">
        <v>37</v>
      </c>
      <c r="C61" s="50" t="s">
        <v>127</v>
      </c>
      <c r="D61" s="101" t="s">
        <v>126</v>
      </c>
      <c r="E61" s="50" t="s">
        <v>105</v>
      </c>
      <c r="F61" s="20" t="s">
        <v>12</v>
      </c>
      <c r="G61" s="38">
        <f aca="true" t="shared" si="16" ref="G61:L61">G62+G63+G64</f>
        <v>7409875</v>
      </c>
      <c r="H61" s="38">
        <f>H62+H63+H64</f>
        <v>1481975</v>
      </c>
      <c r="I61" s="38">
        <f>I62+I63+I64</f>
        <v>1481975</v>
      </c>
      <c r="J61" s="38">
        <f>J62+J63+J64</f>
        <v>1481975</v>
      </c>
      <c r="K61" s="38">
        <f t="shared" si="16"/>
        <v>1481975</v>
      </c>
      <c r="L61" s="38">
        <f t="shared" si="16"/>
        <v>1481975</v>
      </c>
      <c r="M61" s="111"/>
    </row>
    <row r="62" spans="1:13" ht="21.75" customHeight="1">
      <c r="A62" s="48"/>
      <c r="B62" s="113"/>
      <c r="C62" s="51"/>
      <c r="D62" s="102"/>
      <c r="E62" s="51"/>
      <c r="F62" s="20" t="s">
        <v>13</v>
      </c>
      <c r="G62" s="38">
        <f>H62+I62+J62+K62+L62</f>
        <v>7409875</v>
      </c>
      <c r="H62" s="38">
        <v>1481975</v>
      </c>
      <c r="I62" s="38">
        <v>1481975</v>
      </c>
      <c r="J62" s="38">
        <v>1481975</v>
      </c>
      <c r="K62" s="38">
        <v>1481975</v>
      </c>
      <c r="L62" s="38">
        <v>1481975</v>
      </c>
      <c r="M62" s="111"/>
    </row>
    <row r="63" spans="1:13" ht="21.75" customHeight="1">
      <c r="A63" s="48"/>
      <c r="B63" s="113"/>
      <c r="C63" s="51"/>
      <c r="D63" s="102"/>
      <c r="E63" s="51"/>
      <c r="F63" s="20" t="s">
        <v>14</v>
      </c>
      <c r="G63" s="38">
        <f>H63+I63+J63+K63+L63</f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111"/>
    </row>
    <row r="64" spans="1:13" ht="21.75" customHeight="1">
      <c r="A64" s="49"/>
      <c r="B64" s="114"/>
      <c r="C64" s="51"/>
      <c r="D64" s="103"/>
      <c r="E64" s="52"/>
      <c r="F64" s="20" t="s">
        <v>15</v>
      </c>
      <c r="G64" s="38">
        <f>H64+I64+J64+K64+L64</f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111"/>
    </row>
    <row r="65" spans="1:13" ht="21.75" customHeight="1">
      <c r="A65" s="47" t="s">
        <v>36</v>
      </c>
      <c r="B65" s="112" t="s">
        <v>39</v>
      </c>
      <c r="C65" s="50" t="s">
        <v>127</v>
      </c>
      <c r="D65" s="98" t="s">
        <v>125</v>
      </c>
      <c r="E65" s="50" t="s">
        <v>105</v>
      </c>
      <c r="F65" s="20" t="s">
        <v>12</v>
      </c>
      <c r="G65" s="38">
        <f aca="true" t="shared" si="17" ref="G65:L65">G66+G67+G68</f>
        <v>30879666</v>
      </c>
      <c r="H65" s="38">
        <f>H66+H67+H68</f>
        <v>5705049</v>
      </c>
      <c r="I65" s="38">
        <f>I66+I67+I68</f>
        <v>6074133</v>
      </c>
      <c r="J65" s="38">
        <f>J66+J67+J68</f>
        <v>6366828</v>
      </c>
      <c r="K65" s="38">
        <f t="shared" si="17"/>
        <v>6366828</v>
      </c>
      <c r="L65" s="38">
        <f t="shared" si="17"/>
        <v>6366828</v>
      </c>
      <c r="M65" s="111"/>
    </row>
    <row r="66" spans="1:13" ht="21.75" customHeight="1">
      <c r="A66" s="48"/>
      <c r="B66" s="113"/>
      <c r="C66" s="51"/>
      <c r="D66" s="99"/>
      <c r="E66" s="51"/>
      <c r="F66" s="20" t="s">
        <v>13</v>
      </c>
      <c r="G66" s="38">
        <f>H66+I66+J66+K66+L66</f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111"/>
    </row>
    <row r="67" spans="1:13" ht="21.75" customHeight="1">
      <c r="A67" s="48"/>
      <c r="B67" s="113"/>
      <c r="C67" s="51"/>
      <c r="D67" s="99"/>
      <c r="E67" s="51"/>
      <c r="F67" s="20" t="s">
        <v>14</v>
      </c>
      <c r="G67" s="38">
        <f>H67+I67+J67+K67+L67</f>
        <v>30879666</v>
      </c>
      <c r="H67" s="38">
        <v>5705049</v>
      </c>
      <c r="I67" s="38">
        <v>6074133</v>
      </c>
      <c r="J67" s="38">
        <v>6366828</v>
      </c>
      <c r="K67" s="38">
        <v>6366828</v>
      </c>
      <c r="L67" s="38">
        <v>6366828</v>
      </c>
      <c r="M67" s="111"/>
    </row>
    <row r="68" spans="1:13" ht="21.75" customHeight="1">
      <c r="A68" s="49"/>
      <c r="B68" s="114"/>
      <c r="C68" s="51"/>
      <c r="D68" s="100"/>
      <c r="E68" s="52"/>
      <c r="F68" s="20" t="s">
        <v>15</v>
      </c>
      <c r="G68" s="38">
        <f>H68+I68+J68+K68+L68</f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111"/>
    </row>
    <row r="69" spans="1:13" ht="21.75" customHeight="1">
      <c r="A69" s="22"/>
      <c r="B69" s="112" t="s">
        <v>83</v>
      </c>
      <c r="C69" s="50" t="s">
        <v>127</v>
      </c>
      <c r="D69" s="101" t="s">
        <v>126</v>
      </c>
      <c r="E69" s="50" t="s">
        <v>105</v>
      </c>
      <c r="F69" s="20" t="s">
        <v>12</v>
      </c>
      <c r="G69" s="38">
        <f aca="true" t="shared" si="18" ref="G69:L69">G70+G71+G72</f>
        <v>300000</v>
      </c>
      <c r="H69" s="38">
        <f>H70+H71+H72</f>
        <v>60000</v>
      </c>
      <c r="I69" s="38">
        <f>I70+I71+I72</f>
        <v>60000</v>
      </c>
      <c r="J69" s="38">
        <f>J70+J71+J72</f>
        <v>60000</v>
      </c>
      <c r="K69" s="38">
        <f t="shared" si="18"/>
        <v>60000</v>
      </c>
      <c r="L69" s="38">
        <f t="shared" si="18"/>
        <v>60000</v>
      </c>
      <c r="M69" s="111"/>
    </row>
    <row r="70" spans="1:13" ht="21.75" customHeight="1">
      <c r="A70" s="22"/>
      <c r="B70" s="113"/>
      <c r="C70" s="51"/>
      <c r="D70" s="102"/>
      <c r="E70" s="51"/>
      <c r="F70" s="20" t="s">
        <v>13</v>
      </c>
      <c r="G70" s="38">
        <f>H70+I70+J70+K70+L70</f>
        <v>300000</v>
      </c>
      <c r="H70" s="38">
        <v>60000</v>
      </c>
      <c r="I70" s="38">
        <v>60000</v>
      </c>
      <c r="J70" s="38">
        <v>60000</v>
      </c>
      <c r="K70" s="38">
        <v>60000</v>
      </c>
      <c r="L70" s="38">
        <v>60000</v>
      </c>
      <c r="M70" s="111"/>
    </row>
    <row r="71" spans="1:13" ht="21.75" customHeight="1">
      <c r="A71" s="12" t="s">
        <v>38</v>
      </c>
      <c r="B71" s="113"/>
      <c r="C71" s="51"/>
      <c r="D71" s="102"/>
      <c r="E71" s="51"/>
      <c r="F71" s="20" t="s">
        <v>14</v>
      </c>
      <c r="G71" s="38">
        <f>H71+I71+J71+K71+L71</f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111"/>
    </row>
    <row r="72" spans="1:13" ht="21.75" customHeight="1">
      <c r="A72" s="22"/>
      <c r="B72" s="114"/>
      <c r="C72" s="51"/>
      <c r="D72" s="103"/>
      <c r="E72" s="52"/>
      <c r="F72" s="20" t="s">
        <v>15</v>
      </c>
      <c r="G72" s="38">
        <f>H72+I72+J72+K72+L72</f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115"/>
    </row>
    <row r="73" spans="1:13" ht="21.75" customHeight="1">
      <c r="A73" s="75" t="s">
        <v>40</v>
      </c>
      <c r="B73" s="126" t="s">
        <v>41</v>
      </c>
      <c r="C73" s="78" t="s">
        <v>127</v>
      </c>
      <c r="D73" s="89" t="s">
        <v>137</v>
      </c>
      <c r="E73" s="78" t="s">
        <v>105</v>
      </c>
      <c r="F73" s="7" t="s">
        <v>12</v>
      </c>
      <c r="G73" s="36">
        <f aca="true" t="shared" si="19" ref="G73:L73">G74+G75+G76</f>
        <v>4717440</v>
      </c>
      <c r="H73" s="36">
        <f>H74+H75+H76</f>
        <v>943488</v>
      </c>
      <c r="I73" s="36">
        <f>I74+I75+I76</f>
        <v>943488</v>
      </c>
      <c r="J73" s="36">
        <f>J74+J75+J76</f>
        <v>943488</v>
      </c>
      <c r="K73" s="36">
        <f t="shared" si="19"/>
        <v>943488</v>
      </c>
      <c r="L73" s="36">
        <f t="shared" si="19"/>
        <v>943488</v>
      </c>
      <c r="M73" s="110" t="s">
        <v>154</v>
      </c>
    </row>
    <row r="74" spans="1:13" ht="21.75" customHeight="1">
      <c r="A74" s="76"/>
      <c r="B74" s="127"/>
      <c r="C74" s="79"/>
      <c r="D74" s="90"/>
      <c r="E74" s="79"/>
      <c r="F74" s="7" t="s">
        <v>13</v>
      </c>
      <c r="G74" s="36">
        <f>H74+I74+J74+K74+L74</f>
        <v>450000</v>
      </c>
      <c r="H74" s="36">
        <f aca="true" t="shared" si="20" ref="H74:L76">H78+H82</f>
        <v>90000</v>
      </c>
      <c r="I74" s="36">
        <f t="shared" si="20"/>
        <v>90000</v>
      </c>
      <c r="J74" s="36">
        <f t="shared" si="20"/>
        <v>90000</v>
      </c>
      <c r="K74" s="36">
        <f t="shared" si="20"/>
        <v>90000</v>
      </c>
      <c r="L74" s="36">
        <f t="shared" si="20"/>
        <v>90000</v>
      </c>
      <c r="M74" s="111"/>
    </row>
    <row r="75" spans="1:13" ht="21.75" customHeight="1">
      <c r="A75" s="76"/>
      <c r="B75" s="127"/>
      <c r="C75" s="79"/>
      <c r="D75" s="90"/>
      <c r="E75" s="79"/>
      <c r="F75" s="7" t="s">
        <v>14</v>
      </c>
      <c r="G75" s="36">
        <f>H75+I75+J75+K75+L75</f>
        <v>4267440</v>
      </c>
      <c r="H75" s="36">
        <f t="shared" si="20"/>
        <v>853488</v>
      </c>
      <c r="I75" s="36">
        <f t="shared" si="20"/>
        <v>853488</v>
      </c>
      <c r="J75" s="36">
        <f t="shared" si="20"/>
        <v>853488</v>
      </c>
      <c r="K75" s="36">
        <f t="shared" si="20"/>
        <v>853488</v>
      </c>
      <c r="L75" s="36">
        <f t="shared" si="20"/>
        <v>853488</v>
      </c>
      <c r="M75" s="111"/>
    </row>
    <row r="76" spans="1:13" ht="21.75" customHeight="1">
      <c r="A76" s="77"/>
      <c r="B76" s="128"/>
      <c r="C76" s="80"/>
      <c r="D76" s="91"/>
      <c r="E76" s="80"/>
      <c r="F76" s="7" t="s">
        <v>15</v>
      </c>
      <c r="G76" s="36">
        <f>H76+I76+J76+K76+L76</f>
        <v>0</v>
      </c>
      <c r="H76" s="36">
        <f t="shared" si="20"/>
        <v>0</v>
      </c>
      <c r="I76" s="36">
        <f t="shared" si="20"/>
        <v>0</v>
      </c>
      <c r="J76" s="36">
        <f t="shared" si="20"/>
        <v>0</v>
      </c>
      <c r="K76" s="36">
        <f t="shared" si="20"/>
        <v>0</v>
      </c>
      <c r="L76" s="36">
        <f t="shared" si="20"/>
        <v>0</v>
      </c>
      <c r="M76" s="111"/>
    </row>
    <row r="77" spans="1:13" ht="21.75" customHeight="1">
      <c r="A77" s="13"/>
      <c r="B77" s="112" t="s">
        <v>86</v>
      </c>
      <c r="C77" s="50" t="s">
        <v>127</v>
      </c>
      <c r="D77" s="98" t="s">
        <v>137</v>
      </c>
      <c r="E77" s="50" t="s">
        <v>105</v>
      </c>
      <c r="F77" s="20" t="s">
        <v>12</v>
      </c>
      <c r="G77" s="38">
        <f aca="true" t="shared" si="21" ref="G77:L77">G78+G79+G80</f>
        <v>450000</v>
      </c>
      <c r="H77" s="38">
        <f t="shared" si="21"/>
        <v>90000</v>
      </c>
      <c r="I77" s="38">
        <f t="shared" si="21"/>
        <v>90000</v>
      </c>
      <c r="J77" s="38">
        <f t="shared" si="21"/>
        <v>90000</v>
      </c>
      <c r="K77" s="38">
        <f t="shared" si="21"/>
        <v>90000</v>
      </c>
      <c r="L77" s="38">
        <f t="shared" si="21"/>
        <v>90000</v>
      </c>
      <c r="M77" s="111"/>
    </row>
    <row r="78" spans="1:13" ht="21.75" customHeight="1">
      <c r="A78" s="13"/>
      <c r="B78" s="113"/>
      <c r="C78" s="51"/>
      <c r="D78" s="99"/>
      <c r="E78" s="51"/>
      <c r="F78" s="20" t="s">
        <v>13</v>
      </c>
      <c r="G78" s="38">
        <f>H78+I78+J78+K78+L78</f>
        <v>450000</v>
      </c>
      <c r="H78" s="38">
        <v>90000</v>
      </c>
      <c r="I78" s="38">
        <v>90000</v>
      </c>
      <c r="J78" s="38">
        <v>90000</v>
      </c>
      <c r="K78" s="38">
        <v>90000</v>
      </c>
      <c r="L78" s="38">
        <v>90000</v>
      </c>
      <c r="M78" s="111"/>
    </row>
    <row r="79" spans="1:13" ht="21.75" customHeight="1">
      <c r="A79" s="12" t="s">
        <v>92</v>
      </c>
      <c r="B79" s="113"/>
      <c r="C79" s="51"/>
      <c r="D79" s="99"/>
      <c r="E79" s="51"/>
      <c r="F79" s="20" t="s">
        <v>14</v>
      </c>
      <c r="G79" s="38">
        <f>H79+I79+J79+K79+L79</f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111"/>
    </row>
    <row r="80" spans="1:13" ht="21.75" customHeight="1">
      <c r="A80" s="13"/>
      <c r="B80" s="114"/>
      <c r="C80" s="51"/>
      <c r="D80" s="100"/>
      <c r="E80" s="52"/>
      <c r="F80" s="20" t="s">
        <v>15</v>
      </c>
      <c r="G80" s="38">
        <f>H80+I80+J80+K80+L80</f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111"/>
    </row>
    <row r="81" spans="1:13" ht="21.75" customHeight="1">
      <c r="A81" s="47" t="s">
        <v>91</v>
      </c>
      <c r="B81" s="112" t="s">
        <v>42</v>
      </c>
      <c r="C81" s="50" t="s">
        <v>127</v>
      </c>
      <c r="D81" s="98" t="s">
        <v>125</v>
      </c>
      <c r="E81" s="50" t="s">
        <v>105</v>
      </c>
      <c r="F81" s="20" t="s">
        <v>12</v>
      </c>
      <c r="G81" s="38">
        <f aca="true" t="shared" si="22" ref="G81:L81">G82+G83+G84</f>
        <v>4267440</v>
      </c>
      <c r="H81" s="38">
        <f>H82+H83+H84</f>
        <v>853488</v>
      </c>
      <c r="I81" s="38">
        <f>I82+I83+I84</f>
        <v>853488</v>
      </c>
      <c r="J81" s="38">
        <f>J82+J83+J84</f>
        <v>853488</v>
      </c>
      <c r="K81" s="38">
        <f t="shared" si="22"/>
        <v>853488</v>
      </c>
      <c r="L81" s="38">
        <f t="shared" si="22"/>
        <v>853488</v>
      </c>
      <c r="M81" s="111"/>
    </row>
    <row r="82" spans="1:13" ht="21.75" customHeight="1">
      <c r="A82" s="48"/>
      <c r="B82" s="113"/>
      <c r="C82" s="51"/>
      <c r="D82" s="99"/>
      <c r="E82" s="51"/>
      <c r="F82" s="20" t="s">
        <v>13</v>
      </c>
      <c r="G82" s="38">
        <f>H82+I82+J82+K82+L82</f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111"/>
    </row>
    <row r="83" spans="1:14" ht="21.75" customHeight="1">
      <c r="A83" s="48"/>
      <c r="B83" s="113"/>
      <c r="C83" s="51"/>
      <c r="D83" s="99"/>
      <c r="E83" s="51"/>
      <c r="F83" s="20" t="s">
        <v>14</v>
      </c>
      <c r="G83" s="38">
        <f>H83+I83+J83+K83+L83</f>
        <v>4267440</v>
      </c>
      <c r="H83" s="38">
        <f>127900+293084+432504</f>
        <v>853488</v>
      </c>
      <c r="I83" s="38">
        <f>127900+293084+432504</f>
        <v>853488</v>
      </c>
      <c r="J83" s="38">
        <f>127900+293084+432504</f>
        <v>853488</v>
      </c>
      <c r="K83" s="38">
        <f>127900+293084+432504</f>
        <v>853488</v>
      </c>
      <c r="L83" s="38">
        <f>127900+293084+432504</f>
        <v>853488</v>
      </c>
      <c r="M83" s="111"/>
      <c r="N83" s="14"/>
    </row>
    <row r="84" spans="1:13" ht="21.75" customHeight="1">
      <c r="A84" s="49"/>
      <c r="B84" s="114"/>
      <c r="C84" s="51"/>
      <c r="D84" s="100"/>
      <c r="E84" s="52"/>
      <c r="F84" s="20" t="s">
        <v>15</v>
      </c>
      <c r="G84" s="38">
        <f>H84+I84+J84+K84+L84</f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115"/>
    </row>
    <row r="85" spans="1:13" ht="21.75" customHeight="1">
      <c r="A85" s="75" t="s">
        <v>43</v>
      </c>
      <c r="B85" s="126" t="s">
        <v>44</v>
      </c>
      <c r="C85" s="78" t="s">
        <v>127</v>
      </c>
      <c r="D85" s="89" t="s">
        <v>138</v>
      </c>
      <c r="E85" s="78" t="s">
        <v>105</v>
      </c>
      <c r="F85" s="7" t="s">
        <v>12</v>
      </c>
      <c r="G85" s="36">
        <f aca="true" t="shared" si="23" ref="G85:L85">G86+G87+G88</f>
        <v>423748598.4441524</v>
      </c>
      <c r="H85" s="36">
        <f>H86+H87+H88</f>
        <v>85322056.96000001</v>
      </c>
      <c r="I85" s="36">
        <f>I86+I87+I88</f>
        <v>81906835</v>
      </c>
      <c r="J85" s="36">
        <f>J86+J87+J88</f>
        <v>86026480</v>
      </c>
      <c r="K85" s="36">
        <f t="shared" si="23"/>
        <v>85246613.2420762</v>
      </c>
      <c r="L85" s="36">
        <f t="shared" si="23"/>
        <v>85246613.2420762</v>
      </c>
      <c r="M85" s="110" t="s">
        <v>166</v>
      </c>
    </row>
    <row r="86" spans="1:13" ht="21.75" customHeight="1">
      <c r="A86" s="76"/>
      <c r="B86" s="127"/>
      <c r="C86" s="79"/>
      <c r="D86" s="90"/>
      <c r="E86" s="79"/>
      <c r="F86" s="7" t="s">
        <v>13</v>
      </c>
      <c r="G86" s="36">
        <f>H86+I86+J86+K86+L86</f>
        <v>64951993.4441524</v>
      </c>
      <c r="H86" s="36">
        <f aca="true" t="shared" si="24" ref="H86:L88">H90+H94+H106+H98+H102</f>
        <v>19496008.96</v>
      </c>
      <c r="I86" s="36">
        <f t="shared" si="24"/>
        <v>11063996</v>
      </c>
      <c r="J86" s="36">
        <f t="shared" si="24"/>
        <v>11463996</v>
      </c>
      <c r="K86" s="36">
        <f t="shared" si="24"/>
        <v>11463996.2420762</v>
      </c>
      <c r="L86" s="36">
        <f t="shared" si="24"/>
        <v>11463996.2420762</v>
      </c>
      <c r="M86" s="111"/>
    </row>
    <row r="87" spans="1:13" ht="21.75" customHeight="1">
      <c r="A87" s="76"/>
      <c r="B87" s="127"/>
      <c r="C87" s="79"/>
      <c r="D87" s="90"/>
      <c r="E87" s="79"/>
      <c r="F87" s="7" t="s">
        <v>14</v>
      </c>
      <c r="G87" s="36">
        <f>H87+I87+J87+K87+L87</f>
        <v>358796605</v>
      </c>
      <c r="H87" s="36">
        <f t="shared" si="24"/>
        <v>65826048</v>
      </c>
      <c r="I87" s="36">
        <f t="shared" si="24"/>
        <v>70842839</v>
      </c>
      <c r="J87" s="36">
        <f t="shared" si="24"/>
        <v>74562484</v>
      </c>
      <c r="K87" s="36">
        <f t="shared" si="24"/>
        <v>73782617</v>
      </c>
      <c r="L87" s="36">
        <f t="shared" si="24"/>
        <v>73782617</v>
      </c>
      <c r="M87" s="111"/>
    </row>
    <row r="88" spans="1:13" ht="21.75" customHeight="1">
      <c r="A88" s="77"/>
      <c r="B88" s="128"/>
      <c r="C88" s="80"/>
      <c r="D88" s="91"/>
      <c r="E88" s="80"/>
      <c r="F88" s="7" t="s">
        <v>15</v>
      </c>
      <c r="G88" s="36">
        <f>H88+I88+J88+K88+L88</f>
        <v>0</v>
      </c>
      <c r="H88" s="36">
        <f t="shared" si="24"/>
        <v>0</v>
      </c>
      <c r="I88" s="36">
        <f t="shared" si="24"/>
        <v>0</v>
      </c>
      <c r="J88" s="36">
        <f t="shared" si="24"/>
        <v>0</v>
      </c>
      <c r="K88" s="36">
        <f t="shared" si="24"/>
        <v>0</v>
      </c>
      <c r="L88" s="36">
        <f t="shared" si="24"/>
        <v>0</v>
      </c>
      <c r="M88" s="111"/>
    </row>
    <row r="89" spans="1:13" ht="21.75" customHeight="1">
      <c r="A89" s="47" t="s">
        <v>45</v>
      </c>
      <c r="B89" s="112" t="s">
        <v>82</v>
      </c>
      <c r="C89" s="50" t="s">
        <v>127</v>
      </c>
      <c r="D89" s="98" t="s">
        <v>137</v>
      </c>
      <c r="E89" s="50" t="s">
        <v>105</v>
      </c>
      <c r="F89" s="20" t="s">
        <v>12</v>
      </c>
      <c r="G89" s="38">
        <f aca="true" t="shared" si="25" ref="G89:L89">G90+G91+G92</f>
        <v>393336245.9441524</v>
      </c>
      <c r="H89" s="38">
        <f>H90+H91+H92</f>
        <v>75643376.46000001</v>
      </c>
      <c r="I89" s="38">
        <f>I90+I91+I92</f>
        <v>77398417</v>
      </c>
      <c r="J89" s="38">
        <f>J90+J91+J92</f>
        <v>80618062</v>
      </c>
      <c r="K89" s="38">
        <f t="shared" si="25"/>
        <v>79838195.2420762</v>
      </c>
      <c r="L89" s="38">
        <f t="shared" si="25"/>
        <v>79838195.2420762</v>
      </c>
      <c r="M89" s="111"/>
    </row>
    <row r="90" spans="1:15" ht="21.75" customHeight="1">
      <c r="A90" s="48"/>
      <c r="B90" s="113"/>
      <c r="C90" s="51"/>
      <c r="D90" s="99"/>
      <c r="E90" s="51"/>
      <c r="F90" s="20" t="s">
        <v>13</v>
      </c>
      <c r="G90" s="38">
        <f>H90+I90+J90+K90+L90</f>
        <v>62169389.9441524</v>
      </c>
      <c r="H90" s="38">
        <f>11105858-90400+30000-117275.2+233.44+7179141.22</f>
        <v>18107557.46</v>
      </c>
      <c r="I90" s="38">
        <f>11105858-90400</f>
        <v>11015458</v>
      </c>
      <c r="J90" s="38">
        <f>11105858-90400</f>
        <v>11015458</v>
      </c>
      <c r="K90" s="38">
        <f>11105858.2420762-90400</f>
        <v>11015458.2420762</v>
      </c>
      <c r="L90" s="38">
        <f>11105858.2420762-90400</f>
        <v>11015458.2420762</v>
      </c>
      <c r="M90" s="111"/>
      <c r="N90" s="15"/>
      <c r="O90" s="9"/>
    </row>
    <row r="91" spans="1:13" ht="21.75" customHeight="1">
      <c r="A91" s="48"/>
      <c r="B91" s="113"/>
      <c r="C91" s="51"/>
      <c r="D91" s="99"/>
      <c r="E91" s="51"/>
      <c r="F91" s="20" t="s">
        <v>14</v>
      </c>
      <c r="G91" s="38">
        <f>H91+I91+J91+K91+L91</f>
        <v>331166856</v>
      </c>
      <c r="H91" s="38">
        <f>61737283-432504-3768960</f>
        <v>57535819</v>
      </c>
      <c r="I91" s="38">
        <f>66815463-432504</f>
        <v>66382959</v>
      </c>
      <c r="J91" s="38">
        <f>70035108-432504</f>
        <v>69602604</v>
      </c>
      <c r="K91" s="38">
        <v>68822737</v>
      </c>
      <c r="L91" s="38">
        <v>68822737</v>
      </c>
      <c r="M91" s="111"/>
    </row>
    <row r="92" spans="1:13" ht="21.75" customHeight="1">
      <c r="A92" s="49"/>
      <c r="B92" s="114"/>
      <c r="C92" s="51"/>
      <c r="D92" s="100"/>
      <c r="E92" s="52"/>
      <c r="F92" s="20" t="s">
        <v>15</v>
      </c>
      <c r="G92" s="38">
        <f>H92+I92+J92+K92+L92</f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111"/>
    </row>
    <row r="93" spans="1:13" ht="21.75" customHeight="1">
      <c r="A93" s="47" t="s">
        <v>46</v>
      </c>
      <c r="B93" s="123" t="s">
        <v>21</v>
      </c>
      <c r="C93" s="50" t="s">
        <v>127</v>
      </c>
      <c r="D93" s="101" t="s">
        <v>134</v>
      </c>
      <c r="E93" s="50" t="s">
        <v>105</v>
      </c>
      <c r="F93" s="20" t="s">
        <v>12</v>
      </c>
      <c r="G93" s="38">
        <f aca="true" t="shared" si="26" ref="G93:L93">G94+G95+G96</f>
        <v>242690</v>
      </c>
      <c r="H93" s="38">
        <f>H94+H95+H96</f>
        <v>48538</v>
      </c>
      <c r="I93" s="38">
        <f>I94+I95+I96</f>
        <v>48538</v>
      </c>
      <c r="J93" s="38">
        <f>J94+J95+J96</f>
        <v>48538</v>
      </c>
      <c r="K93" s="38">
        <f t="shared" si="26"/>
        <v>48538</v>
      </c>
      <c r="L93" s="38">
        <f t="shared" si="26"/>
        <v>48538</v>
      </c>
      <c r="M93" s="111"/>
    </row>
    <row r="94" spans="1:13" ht="21.75" customHeight="1">
      <c r="A94" s="48"/>
      <c r="B94" s="124"/>
      <c r="C94" s="51"/>
      <c r="D94" s="102"/>
      <c r="E94" s="51"/>
      <c r="F94" s="20" t="s">
        <v>13</v>
      </c>
      <c r="G94" s="38">
        <f>H94+I94+J94+K94+L94</f>
        <v>242690</v>
      </c>
      <c r="H94" s="38">
        <v>48538</v>
      </c>
      <c r="I94" s="38">
        <v>48538</v>
      </c>
      <c r="J94" s="38">
        <v>48538</v>
      </c>
      <c r="K94" s="38">
        <v>48538</v>
      </c>
      <c r="L94" s="38">
        <v>48538</v>
      </c>
      <c r="M94" s="111"/>
    </row>
    <row r="95" spans="1:13" ht="21.75" customHeight="1">
      <c r="A95" s="48"/>
      <c r="B95" s="124"/>
      <c r="C95" s="51"/>
      <c r="D95" s="102"/>
      <c r="E95" s="51"/>
      <c r="F95" s="20" t="s">
        <v>14</v>
      </c>
      <c r="G95" s="38">
        <f>H95+I95+J95+K95+L95</f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111"/>
    </row>
    <row r="96" spans="1:13" ht="21.75" customHeight="1">
      <c r="A96" s="49"/>
      <c r="B96" s="125"/>
      <c r="C96" s="51"/>
      <c r="D96" s="103"/>
      <c r="E96" s="52"/>
      <c r="F96" s="20" t="s">
        <v>15</v>
      </c>
      <c r="G96" s="38">
        <f>H96+I96+J96+K96+L96</f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111"/>
    </row>
    <row r="97" spans="1:13" ht="21.75" customHeight="1">
      <c r="A97" s="22"/>
      <c r="B97" s="123" t="s">
        <v>95</v>
      </c>
      <c r="C97" s="50" t="s">
        <v>127</v>
      </c>
      <c r="D97" s="101" t="s">
        <v>135</v>
      </c>
      <c r="E97" s="50" t="s">
        <v>105</v>
      </c>
      <c r="F97" s="20" t="s">
        <v>12</v>
      </c>
      <c r="G97" s="38">
        <f aca="true" t="shared" si="27" ref="G97:L97">G98+G99+G100</f>
        <v>1593480</v>
      </c>
      <c r="H97" s="38">
        <f t="shared" si="27"/>
        <v>393480</v>
      </c>
      <c r="I97" s="38">
        <f t="shared" si="27"/>
        <v>0</v>
      </c>
      <c r="J97" s="38">
        <f t="shared" si="27"/>
        <v>400000</v>
      </c>
      <c r="K97" s="38">
        <f t="shared" si="27"/>
        <v>400000</v>
      </c>
      <c r="L97" s="38">
        <f t="shared" si="27"/>
        <v>400000</v>
      </c>
      <c r="M97" s="111"/>
    </row>
    <row r="98" spans="1:13" ht="21.75" customHeight="1">
      <c r="A98" s="22"/>
      <c r="B98" s="124"/>
      <c r="C98" s="51"/>
      <c r="D98" s="102"/>
      <c r="E98" s="51"/>
      <c r="F98" s="20" t="s">
        <v>13</v>
      </c>
      <c r="G98" s="38">
        <f>H98+I98+J98+K98+L98</f>
        <v>1593480</v>
      </c>
      <c r="H98" s="38">
        <v>393480</v>
      </c>
      <c r="I98" s="38">
        <v>0</v>
      </c>
      <c r="J98" s="38">
        <v>400000</v>
      </c>
      <c r="K98" s="38">
        <v>400000</v>
      </c>
      <c r="L98" s="38">
        <v>400000</v>
      </c>
      <c r="M98" s="111"/>
    </row>
    <row r="99" spans="1:13" ht="21.75" customHeight="1">
      <c r="A99" s="12" t="s">
        <v>94</v>
      </c>
      <c r="B99" s="124"/>
      <c r="C99" s="51"/>
      <c r="D99" s="102"/>
      <c r="E99" s="51"/>
      <c r="F99" s="20" t="s">
        <v>14</v>
      </c>
      <c r="G99" s="38">
        <f>H99+I99+J99+K99+L99</f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111"/>
    </row>
    <row r="100" spans="1:13" ht="21.75" customHeight="1">
      <c r="A100" s="22"/>
      <c r="B100" s="125"/>
      <c r="C100" s="51"/>
      <c r="D100" s="103"/>
      <c r="E100" s="52"/>
      <c r="F100" s="20" t="s">
        <v>15</v>
      </c>
      <c r="G100" s="38">
        <f>H100+I100+J100+K100+L100</f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111"/>
    </row>
    <row r="101" spans="1:13" ht="21.75" customHeight="1">
      <c r="A101" s="47" t="s">
        <v>93</v>
      </c>
      <c r="B101" s="123" t="s">
        <v>23</v>
      </c>
      <c r="C101" s="50" t="s">
        <v>127</v>
      </c>
      <c r="D101" s="101" t="s">
        <v>136</v>
      </c>
      <c r="E101" s="50" t="s">
        <v>105</v>
      </c>
      <c r="F101" s="20" t="s">
        <v>12</v>
      </c>
      <c r="G101" s="38">
        <f aca="true" t="shared" si="28" ref="G101:L101">G102+G103+G104</f>
        <v>23655300</v>
      </c>
      <c r="H101" s="38">
        <f t="shared" si="28"/>
        <v>4315780</v>
      </c>
      <c r="I101" s="38">
        <f t="shared" si="28"/>
        <v>4459880</v>
      </c>
      <c r="J101" s="38">
        <f t="shared" si="28"/>
        <v>4959880</v>
      </c>
      <c r="K101" s="38">
        <f t="shared" si="28"/>
        <v>4959880</v>
      </c>
      <c r="L101" s="38">
        <f t="shared" si="28"/>
        <v>4959880</v>
      </c>
      <c r="M101" s="111"/>
    </row>
    <row r="102" spans="1:13" ht="21.75" customHeight="1">
      <c r="A102" s="48"/>
      <c r="B102" s="124"/>
      <c r="C102" s="51"/>
      <c r="D102" s="102"/>
      <c r="E102" s="51"/>
      <c r="F102" s="20" t="s">
        <v>13</v>
      </c>
      <c r="G102" s="38">
        <f>H102+I102+J102+K102+L102</f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111"/>
    </row>
    <row r="103" spans="1:13" ht="21.75" customHeight="1">
      <c r="A103" s="48"/>
      <c r="B103" s="124"/>
      <c r="C103" s="51"/>
      <c r="D103" s="102"/>
      <c r="E103" s="51"/>
      <c r="F103" s="20" t="s">
        <v>14</v>
      </c>
      <c r="G103" s="38">
        <f>H103+I103+J103+K103+L103</f>
        <v>23655300</v>
      </c>
      <c r="H103" s="38">
        <v>4315780</v>
      </c>
      <c r="I103" s="38">
        <f>3485080+974800</f>
        <v>4459880</v>
      </c>
      <c r="J103" s="38">
        <f>4459880+500000</f>
        <v>4959880</v>
      </c>
      <c r="K103" s="38">
        <v>4959880</v>
      </c>
      <c r="L103" s="38">
        <v>4959880</v>
      </c>
      <c r="M103" s="111"/>
    </row>
    <row r="104" spans="1:13" ht="21.75" customHeight="1">
      <c r="A104" s="49"/>
      <c r="B104" s="125"/>
      <c r="C104" s="51"/>
      <c r="D104" s="103"/>
      <c r="E104" s="52"/>
      <c r="F104" s="20" t="s">
        <v>15</v>
      </c>
      <c r="G104" s="38">
        <f>H104+I104+J104+K104+L104</f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111"/>
    </row>
    <row r="105" spans="1:13" ht="21.75" customHeight="1">
      <c r="A105" s="47" t="s">
        <v>164</v>
      </c>
      <c r="B105" s="123" t="s">
        <v>163</v>
      </c>
      <c r="C105" s="50" t="s">
        <v>127</v>
      </c>
      <c r="D105" s="98" t="s">
        <v>139</v>
      </c>
      <c r="E105" s="50" t="s">
        <v>105</v>
      </c>
      <c r="F105" s="20" t="s">
        <v>12</v>
      </c>
      <c r="G105" s="38">
        <f aca="true" t="shared" si="29" ref="G105:L105">G106+G107+G108</f>
        <v>4920882.5</v>
      </c>
      <c r="H105" s="38">
        <f>H106+H107+H108</f>
        <v>4920882.5</v>
      </c>
      <c r="I105" s="38">
        <f>I106+I107+I108</f>
        <v>0</v>
      </c>
      <c r="J105" s="38">
        <f>J106+J107+J108</f>
        <v>0</v>
      </c>
      <c r="K105" s="38">
        <f t="shared" si="29"/>
        <v>0</v>
      </c>
      <c r="L105" s="38">
        <f t="shared" si="29"/>
        <v>0</v>
      </c>
      <c r="M105" s="111"/>
    </row>
    <row r="106" spans="1:13" ht="21.75" customHeight="1">
      <c r="A106" s="48"/>
      <c r="B106" s="124"/>
      <c r="C106" s="51"/>
      <c r="D106" s="99"/>
      <c r="E106" s="51"/>
      <c r="F106" s="20" t="s">
        <v>13</v>
      </c>
      <c r="G106" s="38">
        <f>H106+I106+J106+K106+L106</f>
        <v>946433.5</v>
      </c>
      <c r="H106" s="38">
        <f>845990.48+96482.96-233.44+4193.5</f>
        <v>946433.5</v>
      </c>
      <c r="I106" s="38">
        <v>0</v>
      </c>
      <c r="J106" s="38">
        <v>0</v>
      </c>
      <c r="K106" s="38">
        <v>0</v>
      </c>
      <c r="L106" s="38">
        <v>0</v>
      </c>
      <c r="M106" s="111"/>
    </row>
    <row r="107" spans="1:13" ht="21.75" customHeight="1">
      <c r="A107" s="48"/>
      <c r="B107" s="124"/>
      <c r="C107" s="51"/>
      <c r="D107" s="99"/>
      <c r="E107" s="51"/>
      <c r="F107" s="20" t="s">
        <v>14</v>
      </c>
      <c r="G107" s="38">
        <f>H107+I107+J107+K107+L107</f>
        <v>3974449</v>
      </c>
      <c r="H107" s="38">
        <f>3768960+205489</f>
        <v>3974449</v>
      </c>
      <c r="I107" s="38">
        <v>0</v>
      </c>
      <c r="J107" s="38">
        <v>0</v>
      </c>
      <c r="K107" s="38">
        <v>0</v>
      </c>
      <c r="L107" s="38">
        <v>0</v>
      </c>
      <c r="M107" s="111"/>
    </row>
    <row r="108" spans="1:13" ht="21.75" customHeight="1">
      <c r="A108" s="49"/>
      <c r="B108" s="125"/>
      <c r="C108" s="51"/>
      <c r="D108" s="100"/>
      <c r="E108" s="52"/>
      <c r="F108" s="20" t="s">
        <v>15</v>
      </c>
      <c r="G108" s="38">
        <f>H108+I108+J108+K108+L108</f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115"/>
    </row>
    <row r="109" spans="1:13" ht="21.75" customHeight="1">
      <c r="A109" s="75" t="s">
        <v>47</v>
      </c>
      <c r="B109" s="126" t="s">
        <v>48</v>
      </c>
      <c r="C109" s="78" t="s">
        <v>127</v>
      </c>
      <c r="D109" s="89" t="s">
        <v>139</v>
      </c>
      <c r="E109" s="78" t="s">
        <v>105</v>
      </c>
      <c r="F109" s="7" t="s">
        <v>12</v>
      </c>
      <c r="G109" s="36">
        <f aca="true" t="shared" si="30" ref="G109:L109">G110+G111+G112</f>
        <v>26842323.8</v>
      </c>
      <c r="H109" s="36">
        <f>H110+H111+H112</f>
        <v>23656487.8</v>
      </c>
      <c r="I109" s="36">
        <f>I110+I111+I112</f>
        <v>749200</v>
      </c>
      <c r="J109" s="36">
        <f>J110+J111+J112</f>
        <v>758900</v>
      </c>
      <c r="K109" s="36">
        <f t="shared" si="30"/>
        <v>838868</v>
      </c>
      <c r="L109" s="36">
        <f t="shared" si="30"/>
        <v>838868</v>
      </c>
      <c r="M109" s="110"/>
    </row>
    <row r="110" spans="1:13" ht="21.75" customHeight="1">
      <c r="A110" s="76"/>
      <c r="B110" s="127"/>
      <c r="C110" s="79"/>
      <c r="D110" s="90"/>
      <c r="E110" s="79"/>
      <c r="F110" s="7" t="s">
        <v>13</v>
      </c>
      <c r="G110" s="36">
        <f>H110+I110+J110+K110+L110</f>
        <v>4441275.29</v>
      </c>
      <c r="H110" s="36">
        <f aca="true" t="shared" si="31" ref="H110:L112">H114+H118+H122+H126+H130+H134</f>
        <v>2249339.29</v>
      </c>
      <c r="I110" s="36">
        <f t="shared" si="31"/>
        <v>508000</v>
      </c>
      <c r="J110" s="36">
        <f t="shared" si="31"/>
        <v>508000</v>
      </c>
      <c r="K110" s="36">
        <f t="shared" si="31"/>
        <v>587968</v>
      </c>
      <c r="L110" s="36">
        <f t="shared" si="31"/>
        <v>587968</v>
      </c>
      <c r="M110" s="111"/>
    </row>
    <row r="111" spans="1:13" ht="21.75" customHeight="1">
      <c r="A111" s="76"/>
      <c r="B111" s="127"/>
      <c r="C111" s="79"/>
      <c r="D111" s="90"/>
      <c r="E111" s="79"/>
      <c r="F111" s="7" t="s">
        <v>14</v>
      </c>
      <c r="G111" s="36">
        <f>H111+I111+J111+K111+L111</f>
        <v>12560314.51</v>
      </c>
      <c r="H111" s="36">
        <f t="shared" si="31"/>
        <v>11566414.51</v>
      </c>
      <c r="I111" s="36">
        <f t="shared" si="31"/>
        <v>241200</v>
      </c>
      <c r="J111" s="36">
        <f t="shared" si="31"/>
        <v>250900</v>
      </c>
      <c r="K111" s="36">
        <f t="shared" si="31"/>
        <v>250900</v>
      </c>
      <c r="L111" s="36">
        <f t="shared" si="31"/>
        <v>250900</v>
      </c>
      <c r="M111" s="111"/>
    </row>
    <row r="112" spans="1:13" ht="21.75" customHeight="1">
      <c r="A112" s="77"/>
      <c r="B112" s="128"/>
      <c r="C112" s="80"/>
      <c r="D112" s="91"/>
      <c r="E112" s="80"/>
      <c r="F112" s="7" t="s">
        <v>15</v>
      </c>
      <c r="G112" s="36">
        <f>H112+I112+J112+K112+L112</f>
        <v>9840734</v>
      </c>
      <c r="H112" s="36">
        <f t="shared" si="31"/>
        <v>9840734</v>
      </c>
      <c r="I112" s="36">
        <f t="shared" si="31"/>
        <v>0</v>
      </c>
      <c r="J112" s="36">
        <f t="shared" si="31"/>
        <v>0</v>
      </c>
      <c r="K112" s="36">
        <f t="shared" si="31"/>
        <v>0</v>
      </c>
      <c r="L112" s="36">
        <f t="shared" si="31"/>
        <v>0</v>
      </c>
      <c r="M112" s="111"/>
    </row>
    <row r="113" spans="1:13" ht="21.75" customHeight="1">
      <c r="A113" s="47" t="s">
        <v>49</v>
      </c>
      <c r="B113" s="112" t="s">
        <v>50</v>
      </c>
      <c r="C113" s="50" t="s">
        <v>127</v>
      </c>
      <c r="D113" s="50"/>
      <c r="E113" s="50" t="s">
        <v>105</v>
      </c>
      <c r="F113" s="20" t="s">
        <v>12</v>
      </c>
      <c r="G113" s="38">
        <f aca="true" t="shared" si="32" ref="G113:L113">G114+G115+G116</f>
        <v>58058</v>
      </c>
      <c r="H113" s="38">
        <f>H114+H115+H116</f>
        <v>58058</v>
      </c>
      <c r="I113" s="38">
        <f>I114+I115+I116</f>
        <v>0</v>
      </c>
      <c r="J113" s="38">
        <f>J114+J115+J116</f>
        <v>0</v>
      </c>
      <c r="K113" s="38">
        <f t="shared" si="32"/>
        <v>0</v>
      </c>
      <c r="L113" s="38">
        <f t="shared" si="32"/>
        <v>0</v>
      </c>
      <c r="M113" s="111" t="s">
        <v>146</v>
      </c>
    </row>
    <row r="114" spans="1:13" ht="21.75" customHeight="1">
      <c r="A114" s="48"/>
      <c r="B114" s="113"/>
      <c r="C114" s="51"/>
      <c r="D114" s="51"/>
      <c r="E114" s="51"/>
      <c r="F114" s="20" t="s">
        <v>13</v>
      </c>
      <c r="G114" s="38">
        <f>H114+I114+J114+K114+L114</f>
        <v>58058</v>
      </c>
      <c r="H114" s="38">
        <v>58058</v>
      </c>
      <c r="I114" s="38">
        <v>0</v>
      </c>
      <c r="J114" s="38">
        <v>0</v>
      </c>
      <c r="K114" s="38">
        <v>0</v>
      </c>
      <c r="L114" s="38">
        <v>0</v>
      </c>
      <c r="M114" s="111"/>
    </row>
    <row r="115" spans="1:13" ht="21.75" customHeight="1">
      <c r="A115" s="48"/>
      <c r="B115" s="113"/>
      <c r="C115" s="51"/>
      <c r="D115" s="51"/>
      <c r="E115" s="51"/>
      <c r="F115" s="20" t="s">
        <v>14</v>
      </c>
      <c r="G115" s="38">
        <f>H115+I115+J115+K115+L115</f>
        <v>0</v>
      </c>
      <c r="H115" s="38">
        <v>0</v>
      </c>
      <c r="I115" s="38">
        <v>0</v>
      </c>
      <c r="J115" s="38">
        <v>0</v>
      </c>
      <c r="K115" s="38"/>
      <c r="L115" s="38">
        <v>0</v>
      </c>
      <c r="M115" s="111"/>
    </row>
    <row r="116" spans="1:13" ht="21.75" customHeight="1">
      <c r="A116" s="49"/>
      <c r="B116" s="114"/>
      <c r="C116" s="51"/>
      <c r="D116" s="52"/>
      <c r="E116" s="52"/>
      <c r="F116" s="20" t="s">
        <v>15</v>
      </c>
      <c r="G116" s="38">
        <f>H116+I116+J116+K116+L116</f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111"/>
    </row>
    <row r="117" spans="1:13" ht="21.75" customHeight="1">
      <c r="A117" s="47" t="s">
        <v>51</v>
      </c>
      <c r="B117" s="112" t="s">
        <v>115</v>
      </c>
      <c r="C117" s="50" t="s">
        <v>127</v>
      </c>
      <c r="D117" s="101" t="s">
        <v>131</v>
      </c>
      <c r="E117" s="50" t="s">
        <v>105</v>
      </c>
      <c r="F117" s="20" t="s">
        <v>12</v>
      </c>
      <c r="G117" s="38">
        <f aca="true" t="shared" si="33" ref="G117:L117">G118+G119+G120</f>
        <v>12027171</v>
      </c>
      <c r="H117" s="38">
        <f>H118+H119+H120</f>
        <v>12027171</v>
      </c>
      <c r="I117" s="38">
        <f>I118+I119+I120</f>
        <v>0</v>
      </c>
      <c r="J117" s="38">
        <f>J118+J119+J120</f>
        <v>0</v>
      </c>
      <c r="K117" s="38">
        <f t="shared" si="33"/>
        <v>0</v>
      </c>
      <c r="L117" s="38">
        <f t="shared" si="33"/>
        <v>0</v>
      </c>
      <c r="M117" s="111"/>
    </row>
    <row r="118" spans="1:13" ht="21.75" customHeight="1">
      <c r="A118" s="48"/>
      <c r="B118" s="113"/>
      <c r="C118" s="51"/>
      <c r="D118" s="102"/>
      <c r="E118" s="51"/>
      <c r="F118" s="20" t="s">
        <v>13</v>
      </c>
      <c r="G118" s="38">
        <f>H118+I118+J118+K118+L118</f>
        <v>900000</v>
      </c>
      <c r="H118" s="38">
        <v>900000</v>
      </c>
      <c r="I118" s="38">
        <v>0</v>
      </c>
      <c r="J118" s="38">
        <v>0</v>
      </c>
      <c r="K118" s="38">
        <v>0</v>
      </c>
      <c r="L118" s="38">
        <v>0</v>
      </c>
      <c r="M118" s="111"/>
    </row>
    <row r="119" spans="1:13" ht="21.75" customHeight="1">
      <c r="A119" s="48"/>
      <c r="B119" s="113"/>
      <c r="C119" s="51"/>
      <c r="D119" s="102"/>
      <c r="E119" s="51"/>
      <c r="F119" s="20" t="s">
        <v>14</v>
      </c>
      <c r="G119" s="38">
        <f>H119+I119+J119+K119+L119</f>
        <v>7685537</v>
      </c>
      <c r="H119" s="38">
        <v>7685537</v>
      </c>
      <c r="I119" s="38">
        <v>0</v>
      </c>
      <c r="J119" s="38">
        <v>0</v>
      </c>
      <c r="K119" s="38">
        <v>0</v>
      </c>
      <c r="L119" s="38">
        <v>0</v>
      </c>
      <c r="M119" s="111"/>
    </row>
    <row r="120" spans="1:13" ht="21.75" customHeight="1">
      <c r="A120" s="49"/>
      <c r="B120" s="114"/>
      <c r="C120" s="51"/>
      <c r="D120" s="103"/>
      <c r="E120" s="52"/>
      <c r="F120" s="20" t="s">
        <v>15</v>
      </c>
      <c r="G120" s="38">
        <f>H120+I120+J120+K120+L120</f>
        <v>3441634</v>
      </c>
      <c r="H120" s="38">
        <v>3441634</v>
      </c>
      <c r="I120" s="38">
        <v>0</v>
      </c>
      <c r="J120" s="38">
        <v>0</v>
      </c>
      <c r="K120" s="38">
        <v>0</v>
      </c>
      <c r="L120" s="38">
        <v>0</v>
      </c>
      <c r="M120" s="115"/>
    </row>
    <row r="121" spans="1:13" ht="21.75" customHeight="1">
      <c r="A121" s="47" t="s">
        <v>52</v>
      </c>
      <c r="B121" s="112" t="s">
        <v>53</v>
      </c>
      <c r="C121" s="50" t="s">
        <v>127</v>
      </c>
      <c r="D121" s="101" t="s">
        <v>133</v>
      </c>
      <c r="E121" s="50" t="s">
        <v>105</v>
      </c>
      <c r="F121" s="20" t="s">
        <v>12</v>
      </c>
      <c r="G121" s="38">
        <f aca="true" t="shared" si="34" ref="G121:L121">G122+G123+G124</f>
        <v>3402536</v>
      </c>
      <c r="H121" s="38">
        <f>H122+H123+H124</f>
        <v>616700</v>
      </c>
      <c r="I121" s="38">
        <f>I122+I123+I124</f>
        <v>649200</v>
      </c>
      <c r="J121" s="38">
        <f>J122+J123+J124</f>
        <v>658900</v>
      </c>
      <c r="K121" s="38">
        <f t="shared" si="34"/>
        <v>738868</v>
      </c>
      <c r="L121" s="38">
        <f t="shared" si="34"/>
        <v>738868</v>
      </c>
      <c r="M121" s="110" t="s">
        <v>120</v>
      </c>
    </row>
    <row r="122" spans="1:13" ht="21.75" customHeight="1">
      <c r="A122" s="48"/>
      <c r="B122" s="113"/>
      <c r="C122" s="51"/>
      <c r="D122" s="102"/>
      <c r="E122" s="51"/>
      <c r="F122" s="20" t="s">
        <v>13</v>
      </c>
      <c r="G122" s="38">
        <f>H122+I122+J122+K122+L122</f>
        <v>2199936</v>
      </c>
      <c r="H122" s="38">
        <v>408000</v>
      </c>
      <c r="I122" s="38">
        <f>649200-I123</f>
        <v>408000</v>
      </c>
      <c r="J122" s="38">
        <f>658900-J123</f>
        <v>408000</v>
      </c>
      <c r="K122" s="38">
        <v>487968</v>
      </c>
      <c r="L122" s="38">
        <v>487968</v>
      </c>
      <c r="M122" s="111"/>
    </row>
    <row r="123" spans="1:13" ht="21.75" customHeight="1">
      <c r="A123" s="48"/>
      <c r="B123" s="113"/>
      <c r="C123" s="51"/>
      <c r="D123" s="102"/>
      <c r="E123" s="51"/>
      <c r="F123" s="20" t="s">
        <v>14</v>
      </c>
      <c r="G123" s="38">
        <f>H123+I123+J123+K123+L123</f>
        <v>1202600</v>
      </c>
      <c r="H123" s="38">
        <v>208700</v>
      </c>
      <c r="I123" s="38">
        <v>241200</v>
      </c>
      <c r="J123" s="38">
        <v>250900</v>
      </c>
      <c r="K123" s="38">
        <v>250900</v>
      </c>
      <c r="L123" s="38">
        <v>250900</v>
      </c>
      <c r="M123" s="111"/>
    </row>
    <row r="124" spans="1:13" ht="21.75" customHeight="1">
      <c r="A124" s="49"/>
      <c r="B124" s="114"/>
      <c r="C124" s="51"/>
      <c r="D124" s="103"/>
      <c r="E124" s="52"/>
      <c r="F124" s="20" t="s">
        <v>15</v>
      </c>
      <c r="G124" s="38">
        <f>H124+I124+J124+K124+L124</f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115"/>
    </row>
    <row r="125" spans="1:13" ht="21.75" customHeight="1">
      <c r="A125" s="47" t="s">
        <v>54</v>
      </c>
      <c r="B125" s="112" t="s">
        <v>122</v>
      </c>
      <c r="C125" s="50" t="s">
        <v>127</v>
      </c>
      <c r="D125" s="101" t="s">
        <v>141</v>
      </c>
      <c r="E125" s="50" t="s">
        <v>105</v>
      </c>
      <c r="F125" s="20" t="s">
        <v>12</v>
      </c>
      <c r="G125" s="38">
        <f aca="true" t="shared" si="35" ref="G125:L125">G126+G127+G128</f>
        <v>3073269.9</v>
      </c>
      <c r="H125" s="38">
        <f>H126+H127+H128</f>
        <v>2673269.9</v>
      </c>
      <c r="I125" s="38">
        <f>I126+I127+I128</f>
        <v>100000</v>
      </c>
      <c r="J125" s="38">
        <f>J126+J127+J128</f>
        <v>100000</v>
      </c>
      <c r="K125" s="38">
        <f t="shared" si="35"/>
        <v>100000</v>
      </c>
      <c r="L125" s="38">
        <f t="shared" si="35"/>
        <v>100000</v>
      </c>
      <c r="M125" s="110" t="s">
        <v>121</v>
      </c>
    </row>
    <row r="126" spans="1:14" ht="21.75" customHeight="1">
      <c r="A126" s="48"/>
      <c r="B126" s="121"/>
      <c r="C126" s="51"/>
      <c r="D126" s="102"/>
      <c r="E126" s="51"/>
      <c r="F126" s="20" t="s">
        <v>13</v>
      </c>
      <c r="G126" s="38">
        <f>H126+I126+J126+K126+L126</f>
        <v>1275000</v>
      </c>
      <c r="H126" s="38">
        <f>100000+775000</f>
        <v>875000</v>
      </c>
      <c r="I126" s="38">
        <v>100000</v>
      </c>
      <c r="J126" s="38">
        <v>100000</v>
      </c>
      <c r="K126" s="38">
        <v>100000</v>
      </c>
      <c r="L126" s="38">
        <v>100000</v>
      </c>
      <c r="M126" s="111"/>
      <c r="N126" s="16"/>
    </row>
    <row r="127" spans="1:13" ht="21.75" customHeight="1">
      <c r="A127" s="48"/>
      <c r="B127" s="121"/>
      <c r="C127" s="51"/>
      <c r="D127" s="102"/>
      <c r="E127" s="51"/>
      <c r="F127" s="20" t="s">
        <v>14</v>
      </c>
      <c r="G127" s="38">
        <f>H127+I127+J127+K127+L127</f>
        <v>1798269.9</v>
      </c>
      <c r="H127" s="38">
        <v>1798269.9</v>
      </c>
      <c r="I127" s="38">
        <v>0</v>
      </c>
      <c r="J127" s="38">
        <v>0</v>
      </c>
      <c r="K127" s="38">
        <v>0</v>
      </c>
      <c r="L127" s="38">
        <v>0</v>
      </c>
      <c r="M127" s="111"/>
    </row>
    <row r="128" spans="1:13" ht="21.75" customHeight="1">
      <c r="A128" s="49"/>
      <c r="B128" s="122"/>
      <c r="C128" s="51"/>
      <c r="D128" s="103"/>
      <c r="E128" s="52"/>
      <c r="F128" s="20" t="s">
        <v>15</v>
      </c>
      <c r="G128" s="38">
        <f>H128+I128+J128+K128+L128</f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115"/>
    </row>
    <row r="129" spans="1:13" ht="21.75" customHeight="1">
      <c r="A129" s="22"/>
      <c r="B129" s="112" t="s">
        <v>89</v>
      </c>
      <c r="C129" s="50" t="s">
        <v>127</v>
      </c>
      <c r="D129" s="50"/>
      <c r="E129" s="50" t="s">
        <v>105</v>
      </c>
      <c r="F129" s="20" t="s">
        <v>12</v>
      </c>
      <c r="G129" s="38">
        <f>G130+G131+G132</f>
        <v>0</v>
      </c>
      <c r="H129" s="38">
        <v>0</v>
      </c>
      <c r="I129" s="38">
        <f>I130+I131+I132</f>
        <v>0</v>
      </c>
      <c r="J129" s="38">
        <f>J130+J131+J132</f>
        <v>0</v>
      </c>
      <c r="K129" s="38">
        <v>0</v>
      </c>
      <c r="L129" s="38">
        <f>L130+L131+L132</f>
        <v>0</v>
      </c>
      <c r="M129" s="110"/>
    </row>
    <row r="130" spans="1:13" ht="21.75" customHeight="1">
      <c r="A130" s="22" t="s">
        <v>84</v>
      </c>
      <c r="B130" s="113"/>
      <c r="C130" s="51"/>
      <c r="D130" s="51"/>
      <c r="E130" s="51"/>
      <c r="F130" s="20" t="s">
        <v>13</v>
      </c>
      <c r="G130" s="38">
        <f>H130+I130+J130+K130+L130</f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111"/>
    </row>
    <row r="131" spans="1:13" ht="21.75" customHeight="1">
      <c r="A131" s="22"/>
      <c r="B131" s="113"/>
      <c r="C131" s="51"/>
      <c r="D131" s="51"/>
      <c r="E131" s="51"/>
      <c r="F131" s="20" t="s">
        <v>14</v>
      </c>
      <c r="G131" s="38">
        <f>H131+I131+J131+K131+L131</f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111"/>
    </row>
    <row r="132" spans="1:13" ht="21.75" customHeight="1">
      <c r="A132" s="22"/>
      <c r="B132" s="114"/>
      <c r="C132" s="51"/>
      <c r="D132" s="52"/>
      <c r="E132" s="52"/>
      <c r="F132" s="20" t="s">
        <v>15</v>
      </c>
      <c r="G132" s="38">
        <f>H132+I132+J132+K132+L132</f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111"/>
    </row>
    <row r="133" spans="1:13" ht="21.75" customHeight="1">
      <c r="A133" s="47" t="s">
        <v>162</v>
      </c>
      <c r="B133" s="112" t="s">
        <v>161</v>
      </c>
      <c r="C133" s="50" t="s">
        <v>127</v>
      </c>
      <c r="D133" s="98" t="s">
        <v>137</v>
      </c>
      <c r="E133" s="50" t="s">
        <v>105</v>
      </c>
      <c r="F133" s="20" t="s">
        <v>12</v>
      </c>
      <c r="G133" s="38">
        <f aca="true" t="shared" si="36" ref="G133:L133">G134+G135+G136</f>
        <v>8281288.9</v>
      </c>
      <c r="H133" s="38">
        <f t="shared" si="36"/>
        <v>8281288.9</v>
      </c>
      <c r="I133" s="38">
        <f t="shared" si="36"/>
        <v>0</v>
      </c>
      <c r="J133" s="38">
        <f t="shared" si="36"/>
        <v>0</v>
      </c>
      <c r="K133" s="38">
        <f t="shared" si="36"/>
        <v>0</v>
      </c>
      <c r="L133" s="38">
        <f t="shared" si="36"/>
        <v>0</v>
      </c>
      <c r="M133" s="110" t="s">
        <v>165</v>
      </c>
    </row>
    <row r="134" spans="1:13" ht="21.75" customHeight="1">
      <c r="A134" s="48"/>
      <c r="B134" s="113"/>
      <c r="C134" s="51"/>
      <c r="D134" s="99"/>
      <c r="E134" s="51"/>
      <c r="F134" s="20" t="s">
        <v>13</v>
      </c>
      <c r="G134" s="38">
        <f>H134+I134+J134+K134+L134</f>
        <v>8281.29</v>
      </c>
      <c r="H134" s="38">
        <v>8281.29</v>
      </c>
      <c r="I134" s="38">
        <v>0</v>
      </c>
      <c r="J134" s="38">
        <v>0</v>
      </c>
      <c r="K134" s="38">
        <v>0</v>
      </c>
      <c r="L134" s="38">
        <v>0</v>
      </c>
      <c r="M134" s="111"/>
    </row>
    <row r="135" spans="1:13" ht="21.75" customHeight="1">
      <c r="A135" s="48"/>
      <c r="B135" s="113"/>
      <c r="C135" s="51"/>
      <c r="D135" s="99"/>
      <c r="E135" s="51"/>
      <c r="F135" s="20" t="s">
        <v>14</v>
      </c>
      <c r="G135" s="38">
        <f>H135+I135+J135+K135+L135</f>
        <v>1873907.61</v>
      </c>
      <c r="H135" s="38">
        <f>1873906.61+1</f>
        <v>1873907.61</v>
      </c>
      <c r="I135" s="38">
        <v>0</v>
      </c>
      <c r="J135" s="38">
        <v>0</v>
      </c>
      <c r="K135" s="38">
        <v>0</v>
      </c>
      <c r="L135" s="38">
        <v>0</v>
      </c>
      <c r="M135" s="111"/>
    </row>
    <row r="136" spans="1:13" ht="21.75" customHeight="1">
      <c r="A136" s="49"/>
      <c r="B136" s="114"/>
      <c r="C136" s="51"/>
      <c r="D136" s="100"/>
      <c r="E136" s="52"/>
      <c r="F136" s="20" t="s">
        <v>15</v>
      </c>
      <c r="G136" s="38">
        <f>H136+I136+J136+K136+L136</f>
        <v>6399100</v>
      </c>
      <c r="H136" s="38">
        <v>6399100</v>
      </c>
      <c r="I136" s="38">
        <v>0</v>
      </c>
      <c r="J136" s="38">
        <v>0</v>
      </c>
      <c r="K136" s="38">
        <v>0</v>
      </c>
      <c r="L136" s="38">
        <v>0</v>
      </c>
      <c r="M136" s="115"/>
    </row>
    <row r="137" spans="1:13" ht="22.5" customHeight="1">
      <c r="A137" s="65" t="s">
        <v>55</v>
      </c>
      <c r="B137" s="68" t="s">
        <v>150</v>
      </c>
      <c r="C137" s="71" t="s">
        <v>127</v>
      </c>
      <c r="D137" s="92" t="s">
        <v>124</v>
      </c>
      <c r="E137" s="71" t="s">
        <v>105</v>
      </c>
      <c r="F137" s="6" t="s">
        <v>12</v>
      </c>
      <c r="G137" s="34">
        <f aca="true" t="shared" si="37" ref="G137:L137">G138+G139+G140</f>
        <v>59880488.1</v>
      </c>
      <c r="H137" s="34">
        <f>H138+H139+H140</f>
        <v>20063728.1</v>
      </c>
      <c r="I137" s="34">
        <f>I138+I139+I140</f>
        <v>9000000</v>
      </c>
      <c r="J137" s="34">
        <f>J138+J139+J140</f>
        <v>8800000</v>
      </c>
      <c r="K137" s="34">
        <f t="shared" si="37"/>
        <v>11008380</v>
      </c>
      <c r="L137" s="34">
        <f t="shared" si="37"/>
        <v>11008380</v>
      </c>
      <c r="M137" s="116"/>
    </row>
    <row r="138" spans="1:13" ht="22.5" customHeight="1">
      <c r="A138" s="66"/>
      <c r="B138" s="69"/>
      <c r="C138" s="72"/>
      <c r="D138" s="93"/>
      <c r="E138" s="72"/>
      <c r="F138" s="6" t="s">
        <v>13</v>
      </c>
      <c r="G138" s="34">
        <f>H138+I138+J138+K138+L138</f>
        <v>48338640.96</v>
      </c>
      <c r="H138" s="34">
        <f aca="true" t="shared" si="38" ref="H138:L140">H142+H146+H150+H158+H170+H154+H162</f>
        <v>8521880.96</v>
      </c>
      <c r="I138" s="34">
        <f t="shared" si="38"/>
        <v>9000000</v>
      </c>
      <c r="J138" s="34">
        <f t="shared" si="38"/>
        <v>8800000</v>
      </c>
      <c r="K138" s="34">
        <f t="shared" si="38"/>
        <v>11008380</v>
      </c>
      <c r="L138" s="34">
        <f t="shared" si="38"/>
        <v>11008380</v>
      </c>
      <c r="M138" s="117"/>
    </row>
    <row r="139" spans="1:13" ht="22.5" customHeight="1">
      <c r="A139" s="66"/>
      <c r="B139" s="69"/>
      <c r="C139" s="72"/>
      <c r="D139" s="93"/>
      <c r="E139" s="72"/>
      <c r="F139" s="6" t="s">
        <v>14</v>
      </c>
      <c r="G139" s="34">
        <f>H139+I139+J139+K139+L139</f>
        <v>11541847.14</v>
      </c>
      <c r="H139" s="34">
        <f t="shared" si="38"/>
        <v>11541847.14</v>
      </c>
      <c r="I139" s="34">
        <f t="shared" si="38"/>
        <v>0</v>
      </c>
      <c r="J139" s="34">
        <f t="shared" si="38"/>
        <v>0</v>
      </c>
      <c r="K139" s="34">
        <f t="shared" si="38"/>
        <v>0</v>
      </c>
      <c r="L139" s="34">
        <f t="shared" si="38"/>
        <v>0</v>
      </c>
      <c r="M139" s="117"/>
    </row>
    <row r="140" spans="1:26" ht="22.5" customHeight="1">
      <c r="A140" s="67"/>
      <c r="B140" s="70"/>
      <c r="C140" s="73"/>
      <c r="D140" s="94"/>
      <c r="E140" s="73"/>
      <c r="F140" s="6" t="s">
        <v>15</v>
      </c>
      <c r="G140" s="34">
        <f>H140+I140+J140+K140+L140</f>
        <v>0</v>
      </c>
      <c r="H140" s="34">
        <f t="shared" si="38"/>
        <v>0</v>
      </c>
      <c r="I140" s="34">
        <f t="shared" si="38"/>
        <v>0</v>
      </c>
      <c r="J140" s="34">
        <f t="shared" si="38"/>
        <v>0</v>
      </c>
      <c r="K140" s="34">
        <f t="shared" si="38"/>
        <v>0</v>
      </c>
      <c r="L140" s="34">
        <f t="shared" si="38"/>
        <v>0</v>
      </c>
      <c r="M140" s="118"/>
      <c r="Y140" s="74" t="s">
        <v>87</v>
      </c>
      <c r="Z140" s="3"/>
    </row>
    <row r="141" spans="1:25" ht="21.75" customHeight="1">
      <c r="A141" s="47" t="s">
        <v>56</v>
      </c>
      <c r="B141" s="112" t="s">
        <v>77</v>
      </c>
      <c r="C141" s="50" t="s">
        <v>127</v>
      </c>
      <c r="D141" s="98" t="s">
        <v>140</v>
      </c>
      <c r="E141" s="50" t="s">
        <v>105</v>
      </c>
      <c r="F141" s="20" t="s">
        <v>12</v>
      </c>
      <c r="G141" s="38">
        <f aca="true" t="shared" si="39" ref="G141:L141">G142+G143+G144</f>
        <v>31763157.1</v>
      </c>
      <c r="H141" s="38">
        <f>H142+H143+H144</f>
        <v>12746397.100000001</v>
      </c>
      <c r="I141" s="38">
        <f>I142+I143+I144</f>
        <v>3800000</v>
      </c>
      <c r="J141" s="38">
        <f>J142+J143+J144</f>
        <v>3600000</v>
      </c>
      <c r="K141" s="38">
        <f t="shared" si="39"/>
        <v>5808380</v>
      </c>
      <c r="L141" s="38">
        <f t="shared" si="39"/>
        <v>5808380</v>
      </c>
      <c r="M141" s="111" t="s">
        <v>155</v>
      </c>
      <c r="Y141" s="74"/>
    </row>
    <row r="142" spans="1:25" ht="21.75" customHeight="1">
      <c r="A142" s="48"/>
      <c r="B142" s="113"/>
      <c r="C142" s="51"/>
      <c r="D142" s="99"/>
      <c r="E142" s="51"/>
      <c r="F142" s="20" t="s">
        <v>13</v>
      </c>
      <c r="G142" s="38">
        <f>H142+I142+J142+K142+L142</f>
        <v>22692363.96</v>
      </c>
      <c r="H142" s="38">
        <f>4000000-H118-H98+334873.66+53210+571000.3+10000</f>
        <v>3675603.96</v>
      </c>
      <c r="I142" s="38">
        <f>3600000-200000+400000</f>
        <v>3800000</v>
      </c>
      <c r="J142" s="38">
        <v>3600000</v>
      </c>
      <c r="K142" s="38">
        <v>5808380</v>
      </c>
      <c r="L142" s="38">
        <v>5808380</v>
      </c>
      <c r="M142" s="111"/>
      <c r="O142" s="3">
        <f>1759000+1400000+4507295+1195000</f>
        <v>8861295</v>
      </c>
      <c r="P142" s="3">
        <f>O142-N142</f>
        <v>8861295</v>
      </c>
      <c r="Y142" s="74"/>
    </row>
    <row r="143" spans="1:25" ht="21.75" customHeight="1">
      <c r="A143" s="48"/>
      <c r="B143" s="113"/>
      <c r="C143" s="51"/>
      <c r="D143" s="99"/>
      <c r="E143" s="51"/>
      <c r="F143" s="20" t="s">
        <v>14</v>
      </c>
      <c r="G143" s="38">
        <f>H143+I143+J143+K143+L143</f>
        <v>9070793.14</v>
      </c>
      <c r="H143" s="38">
        <f>3714220.8+5356572.34</f>
        <v>9070793.14</v>
      </c>
      <c r="I143" s="38">
        <v>0</v>
      </c>
      <c r="J143" s="38">
        <v>0</v>
      </c>
      <c r="K143" s="38">
        <v>0</v>
      </c>
      <c r="L143" s="38">
        <v>0</v>
      </c>
      <c r="M143" s="111"/>
      <c r="P143" s="3"/>
      <c r="Y143" s="74"/>
    </row>
    <row r="144" spans="1:25" ht="21.75" customHeight="1">
      <c r="A144" s="49"/>
      <c r="B144" s="114"/>
      <c r="C144" s="51"/>
      <c r="D144" s="100"/>
      <c r="E144" s="52"/>
      <c r="F144" s="20" t="s">
        <v>15</v>
      </c>
      <c r="G144" s="38">
        <f>H144+I144+J144+K144+L144</f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111"/>
      <c r="N144" s="17"/>
      <c r="Y144" s="74"/>
    </row>
    <row r="145" spans="1:25" ht="21.75" customHeight="1">
      <c r="A145" s="47" t="s">
        <v>57</v>
      </c>
      <c r="B145" s="112" t="s">
        <v>59</v>
      </c>
      <c r="C145" s="50" t="s">
        <v>127</v>
      </c>
      <c r="D145" s="95" t="s">
        <v>132</v>
      </c>
      <c r="E145" s="50" t="s">
        <v>105</v>
      </c>
      <c r="F145" s="20" t="s">
        <v>12</v>
      </c>
      <c r="G145" s="38">
        <f aca="true" t="shared" si="40" ref="G145:L145">G146+G147+G148</f>
        <v>6525000</v>
      </c>
      <c r="H145" s="38">
        <f>H146+H147+H148</f>
        <v>2525000</v>
      </c>
      <c r="I145" s="38">
        <f>I146+I147+I148</f>
        <v>1000000</v>
      </c>
      <c r="J145" s="38">
        <f>J146+J147+J148</f>
        <v>1000000</v>
      </c>
      <c r="K145" s="38">
        <f t="shared" si="40"/>
        <v>1000000</v>
      </c>
      <c r="L145" s="38">
        <f t="shared" si="40"/>
        <v>1000000</v>
      </c>
      <c r="M145" s="111"/>
      <c r="N145" s="3"/>
      <c r="V145" s="3" t="e">
        <f>#REF!+#REF!+#REF!+#REF!</f>
        <v>#REF!</v>
      </c>
      <c r="Y145" s="74"/>
    </row>
    <row r="146" spans="1:25" ht="21.75" customHeight="1">
      <c r="A146" s="48"/>
      <c r="B146" s="113"/>
      <c r="C146" s="51"/>
      <c r="D146" s="96"/>
      <c r="E146" s="51"/>
      <c r="F146" s="20" t="s">
        <v>13</v>
      </c>
      <c r="G146" s="38">
        <f>H146+I146+J146+K146+L146</f>
        <v>5052500</v>
      </c>
      <c r="H146" s="38">
        <f>1000000+47250+5250</f>
        <v>1052500</v>
      </c>
      <c r="I146" s="38">
        <v>1000000</v>
      </c>
      <c r="J146" s="38">
        <v>1000000</v>
      </c>
      <c r="K146" s="38">
        <v>1000000</v>
      </c>
      <c r="L146" s="38">
        <v>1000000</v>
      </c>
      <c r="M146" s="111"/>
      <c r="Y146" s="74"/>
    </row>
    <row r="147" spans="1:25" ht="21.75" customHeight="1">
      <c r="A147" s="48"/>
      <c r="B147" s="113"/>
      <c r="C147" s="51"/>
      <c r="D147" s="96"/>
      <c r="E147" s="51"/>
      <c r="F147" s="20" t="s">
        <v>14</v>
      </c>
      <c r="G147" s="38">
        <f>H147+I147+J147+K147+L147</f>
        <v>1472500</v>
      </c>
      <c r="H147" s="38">
        <f>1000000+472500</f>
        <v>1472500</v>
      </c>
      <c r="I147" s="38">
        <v>0</v>
      </c>
      <c r="J147" s="38">
        <v>0</v>
      </c>
      <c r="K147" s="38">
        <v>0</v>
      </c>
      <c r="L147" s="38">
        <v>0</v>
      </c>
      <c r="M147" s="111"/>
      <c r="Y147" s="74"/>
    </row>
    <row r="148" spans="1:25" ht="21.75" customHeight="1">
      <c r="A148" s="49"/>
      <c r="B148" s="114"/>
      <c r="C148" s="51"/>
      <c r="D148" s="97"/>
      <c r="E148" s="52"/>
      <c r="F148" s="20" t="s">
        <v>15</v>
      </c>
      <c r="G148" s="38">
        <f>H148+I148+J148+K148+L148</f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111"/>
      <c r="Y148" s="74"/>
    </row>
    <row r="149" spans="1:25" ht="21.75" customHeight="1">
      <c r="A149" s="47" t="s">
        <v>58</v>
      </c>
      <c r="B149" s="112" t="s">
        <v>109</v>
      </c>
      <c r="C149" s="50" t="s">
        <v>127</v>
      </c>
      <c r="D149" s="98" t="s">
        <v>124</v>
      </c>
      <c r="E149" s="50" t="s">
        <v>105</v>
      </c>
      <c r="F149" s="20" t="s">
        <v>12</v>
      </c>
      <c r="G149" s="38">
        <f aca="true" t="shared" si="41" ref="G149:L149">G150+G151+G152</f>
        <v>15838075</v>
      </c>
      <c r="H149" s="38">
        <f>H150+H151+H152</f>
        <v>3038075</v>
      </c>
      <c r="I149" s="38">
        <f>I150+I151+I152</f>
        <v>3200000</v>
      </c>
      <c r="J149" s="38">
        <f>J150+J151+J152</f>
        <v>3200000</v>
      </c>
      <c r="K149" s="38">
        <f t="shared" si="41"/>
        <v>3200000</v>
      </c>
      <c r="L149" s="38">
        <f t="shared" si="41"/>
        <v>3200000</v>
      </c>
      <c r="M149" s="111"/>
      <c r="Y149" s="74"/>
    </row>
    <row r="150" spans="1:25" ht="21.75" customHeight="1">
      <c r="A150" s="48"/>
      <c r="B150" s="113"/>
      <c r="C150" s="51"/>
      <c r="D150" s="99"/>
      <c r="E150" s="51"/>
      <c r="F150" s="20" t="s">
        <v>13</v>
      </c>
      <c r="G150" s="38">
        <f aca="true" t="shared" si="42" ref="G150:G172">H150+I150+J150+K150+L150</f>
        <v>15700000</v>
      </c>
      <c r="H150" s="38">
        <f>3200000-300000-62034+62034</f>
        <v>2900000</v>
      </c>
      <c r="I150" s="38">
        <v>3200000</v>
      </c>
      <c r="J150" s="38">
        <v>3200000</v>
      </c>
      <c r="K150" s="38">
        <v>3200000</v>
      </c>
      <c r="L150" s="38">
        <v>3200000</v>
      </c>
      <c r="M150" s="111"/>
      <c r="Y150" s="74"/>
    </row>
    <row r="151" spans="1:25" ht="21.75" customHeight="1">
      <c r="A151" s="48"/>
      <c r="B151" s="113"/>
      <c r="C151" s="51"/>
      <c r="D151" s="99"/>
      <c r="E151" s="51"/>
      <c r="F151" s="20" t="s">
        <v>14</v>
      </c>
      <c r="G151" s="38">
        <f t="shared" si="42"/>
        <v>138075</v>
      </c>
      <c r="H151" s="38">
        <v>138075</v>
      </c>
      <c r="I151" s="38">
        <v>0</v>
      </c>
      <c r="J151" s="38">
        <v>0</v>
      </c>
      <c r="K151" s="38">
        <v>0</v>
      </c>
      <c r="L151" s="38">
        <v>0</v>
      </c>
      <c r="M151" s="111"/>
      <c r="O151" s="3"/>
      <c r="Y151" s="74"/>
    </row>
    <row r="152" spans="1:25" ht="21.75" customHeight="1">
      <c r="A152" s="49"/>
      <c r="B152" s="114"/>
      <c r="C152" s="51"/>
      <c r="D152" s="100"/>
      <c r="E152" s="52"/>
      <c r="F152" s="20" t="s">
        <v>15</v>
      </c>
      <c r="G152" s="38">
        <f t="shared" si="42"/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111"/>
      <c r="O152" s="3"/>
      <c r="Y152" s="74"/>
    </row>
    <row r="153" spans="1:25" ht="21.75" customHeight="1">
      <c r="A153" s="22"/>
      <c r="B153" s="112" t="s">
        <v>97</v>
      </c>
      <c r="C153" s="50" t="s">
        <v>127</v>
      </c>
      <c r="D153" s="50"/>
      <c r="E153" s="50" t="s">
        <v>105</v>
      </c>
      <c r="F153" s="20" t="s">
        <v>12</v>
      </c>
      <c r="G153" s="38">
        <f aca="true" t="shared" si="43" ref="G153:L153">G154+G155+G156</f>
        <v>0</v>
      </c>
      <c r="H153" s="38">
        <f t="shared" si="43"/>
        <v>0</v>
      </c>
      <c r="I153" s="38">
        <f t="shared" si="43"/>
        <v>0</v>
      </c>
      <c r="J153" s="38">
        <f t="shared" si="43"/>
        <v>0</v>
      </c>
      <c r="K153" s="38">
        <f t="shared" si="43"/>
        <v>0</v>
      </c>
      <c r="L153" s="38">
        <f t="shared" si="43"/>
        <v>0</v>
      </c>
      <c r="M153" s="111"/>
      <c r="O153" s="3"/>
      <c r="Y153" s="18"/>
    </row>
    <row r="154" spans="1:25" ht="21.75" customHeight="1">
      <c r="A154" s="22"/>
      <c r="B154" s="113"/>
      <c r="C154" s="51"/>
      <c r="D154" s="51"/>
      <c r="E154" s="51"/>
      <c r="F154" s="20" t="s">
        <v>13</v>
      </c>
      <c r="G154" s="38">
        <f t="shared" si="42"/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111"/>
      <c r="O154" s="3"/>
      <c r="Y154" s="18"/>
    </row>
    <row r="155" spans="1:25" ht="21.75" customHeight="1">
      <c r="A155" s="12" t="s">
        <v>98</v>
      </c>
      <c r="B155" s="113"/>
      <c r="C155" s="51"/>
      <c r="D155" s="51"/>
      <c r="E155" s="51"/>
      <c r="F155" s="20" t="s">
        <v>14</v>
      </c>
      <c r="G155" s="38">
        <f t="shared" si="42"/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111"/>
      <c r="O155" s="3"/>
      <c r="Y155" s="18"/>
    </row>
    <row r="156" spans="1:25" ht="21.75" customHeight="1">
      <c r="A156" s="22"/>
      <c r="B156" s="114"/>
      <c r="C156" s="51"/>
      <c r="D156" s="52"/>
      <c r="E156" s="52"/>
      <c r="F156" s="20" t="s">
        <v>15</v>
      </c>
      <c r="G156" s="38">
        <f t="shared" si="42"/>
        <v>0</v>
      </c>
      <c r="H156" s="38">
        <v>0</v>
      </c>
      <c r="I156" s="38">
        <v>0</v>
      </c>
      <c r="J156" s="38">
        <v>0</v>
      </c>
      <c r="K156" s="38">
        <v>0</v>
      </c>
      <c r="L156" s="38">
        <v>0</v>
      </c>
      <c r="M156" s="111"/>
      <c r="O156" s="3"/>
      <c r="Y156" s="18"/>
    </row>
    <row r="157" spans="1:13" ht="21.75" customHeight="1">
      <c r="A157" s="47" t="s">
        <v>60</v>
      </c>
      <c r="B157" s="112" t="s">
        <v>61</v>
      </c>
      <c r="C157" s="50" t="s">
        <v>127</v>
      </c>
      <c r="D157" s="101" t="s">
        <v>142</v>
      </c>
      <c r="E157" s="50" t="s">
        <v>105</v>
      </c>
      <c r="F157" s="20" t="s">
        <v>12</v>
      </c>
      <c r="G157" s="38">
        <f aca="true" t="shared" si="44" ref="G157:L157">G158+G159+G160</f>
        <v>4525000</v>
      </c>
      <c r="H157" s="38">
        <f>H158+H159+H160</f>
        <v>525000</v>
      </c>
      <c r="I157" s="38">
        <f>I158+I159+I160</f>
        <v>1000000</v>
      </c>
      <c r="J157" s="38">
        <f>J158+J159+J160</f>
        <v>1000000</v>
      </c>
      <c r="K157" s="38">
        <f t="shared" si="44"/>
        <v>1000000</v>
      </c>
      <c r="L157" s="38">
        <f t="shared" si="44"/>
        <v>1000000</v>
      </c>
      <c r="M157" s="111"/>
    </row>
    <row r="158" spans="1:15" ht="21.75" customHeight="1">
      <c r="A158" s="48"/>
      <c r="B158" s="113"/>
      <c r="C158" s="51"/>
      <c r="D158" s="102"/>
      <c r="E158" s="51"/>
      <c r="F158" s="20" t="s">
        <v>13</v>
      </c>
      <c r="G158" s="38">
        <f t="shared" si="42"/>
        <v>4525000</v>
      </c>
      <c r="H158" s="38">
        <f>700000+300000-475000</f>
        <v>525000</v>
      </c>
      <c r="I158" s="38">
        <f>700000+300000</f>
        <v>1000000</v>
      </c>
      <c r="J158" s="38">
        <f>700000+300000</f>
        <v>1000000</v>
      </c>
      <c r="K158" s="38">
        <f>700000+300000</f>
        <v>1000000</v>
      </c>
      <c r="L158" s="38">
        <f>700000+300000</f>
        <v>1000000</v>
      </c>
      <c r="M158" s="111"/>
      <c r="O158" s="2">
        <v>854209197.4</v>
      </c>
    </row>
    <row r="159" spans="1:15" ht="21.75" customHeight="1">
      <c r="A159" s="48"/>
      <c r="B159" s="113"/>
      <c r="C159" s="51"/>
      <c r="D159" s="102"/>
      <c r="E159" s="51"/>
      <c r="F159" s="20" t="s">
        <v>14</v>
      </c>
      <c r="G159" s="38">
        <f t="shared" si="42"/>
        <v>0</v>
      </c>
      <c r="H159" s="38">
        <v>0</v>
      </c>
      <c r="I159" s="38">
        <v>0</v>
      </c>
      <c r="J159" s="38">
        <v>0</v>
      </c>
      <c r="K159" s="38">
        <v>0</v>
      </c>
      <c r="L159" s="38">
        <v>0</v>
      </c>
      <c r="M159" s="111"/>
      <c r="O159" s="2">
        <v>852492090</v>
      </c>
    </row>
    <row r="160" spans="1:15" ht="21.75" customHeight="1">
      <c r="A160" s="49"/>
      <c r="B160" s="114"/>
      <c r="C160" s="51"/>
      <c r="D160" s="103"/>
      <c r="E160" s="52"/>
      <c r="F160" s="20" t="s">
        <v>15</v>
      </c>
      <c r="G160" s="38">
        <f t="shared" si="42"/>
        <v>0</v>
      </c>
      <c r="H160" s="38">
        <v>0</v>
      </c>
      <c r="I160" s="38">
        <v>0</v>
      </c>
      <c r="J160" s="38">
        <v>0</v>
      </c>
      <c r="K160" s="38">
        <v>0</v>
      </c>
      <c r="L160" s="38">
        <v>0</v>
      </c>
      <c r="M160" s="111"/>
      <c r="O160" s="2">
        <f>O158-O159</f>
        <v>1717107.3999999762</v>
      </c>
    </row>
    <row r="161" spans="1:13" ht="21.75" customHeight="1">
      <c r="A161" s="22"/>
      <c r="B161" s="112" t="s">
        <v>96</v>
      </c>
      <c r="C161" s="50" t="s">
        <v>127</v>
      </c>
      <c r="D161" s="50"/>
      <c r="E161" s="50" t="s">
        <v>105</v>
      </c>
      <c r="F161" s="20" t="s">
        <v>12</v>
      </c>
      <c r="G161" s="38">
        <f aca="true" t="shared" si="45" ref="G161:L161">G162+G163+G164</f>
        <v>0</v>
      </c>
      <c r="H161" s="38">
        <f t="shared" si="45"/>
        <v>0</v>
      </c>
      <c r="I161" s="38">
        <f t="shared" si="45"/>
        <v>0</v>
      </c>
      <c r="J161" s="38">
        <f t="shared" si="45"/>
        <v>0</v>
      </c>
      <c r="K161" s="38">
        <f t="shared" si="45"/>
        <v>0</v>
      </c>
      <c r="L161" s="38">
        <f t="shared" si="45"/>
        <v>0</v>
      </c>
      <c r="M161" s="111"/>
    </row>
    <row r="162" spans="1:13" ht="21.75" customHeight="1">
      <c r="A162" s="12" t="s">
        <v>99</v>
      </c>
      <c r="B162" s="113"/>
      <c r="C162" s="51"/>
      <c r="D162" s="51"/>
      <c r="E162" s="51"/>
      <c r="F162" s="20" t="s">
        <v>13</v>
      </c>
      <c r="G162" s="38">
        <f t="shared" si="42"/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111"/>
    </row>
    <row r="163" spans="1:13" ht="21.75" customHeight="1">
      <c r="A163" s="22"/>
      <c r="B163" s="113"/>
      <c r="C163" s="51"/>
      <c r="D163" s="51"/>
      <c r="E163" s="51"/>
      <c r="F163" s="20" t="s">
        <v>14</v>
      </c>
      <c r="G163" s="38">
        <f t="shared" si="42"/>
        <v>0</v>
      </c>
      <c r="H163" s="38">
        <v>0</v>
      </c>
      <c r="I163" s="38">
        <v>0</v>
      </c>
      <c r="J163" s="38">
        <v>0</v>
      </c>
      <c r="K163" s="38">
        <v>0</v>
      </c>
      <c r="L163" s="38">
        <v>0</v>
      </c>
      <c r="M163" s="111"/>
    </row>
    <row r="164" spans="1:13" ht="21.75" customHeight="1">
      <c r="A164" s="22"/>
      <c r="B164" s="114"/>
      <c r="C164" s="51"/>
      <c r="D164" s="52"/>
      <c r="E164" s="52"/>
      <c r="F164" s="20" t="s">
        <v>15</v>
      </c>
      <c r="G164" s="38">
        <f t="shared" si="42"/>
        <v>0</v>
      </c>
      <c r="H164" s="38">
        <v>0</v>
      </c>
      <c r="I164" s="38">
        <v>0</v>
      </c>
      <c r="J164" s="38">
        <v>0</v>
      </c>
      <c r="K164" s="38">
        <v>0</v>
      </c>
      <c r="L164" s="38">
        <v>0</v>
      </c>
      <c r="M164" s="111"/>
    </row>
    <row r="165" spans="1:13" ht="21.75" customHeight="1">
      <c r="A165" s="47" t="s">
        <v>100</v>
      </c>
      <c r="B165" s="112" t="s">
        <v>81</v>
      </c>
      <c r="C165" s="50" t="s">
        <v>127</v>
      </c>
      <c r="D165" s="50"/>
      <c r="E165" s="50" t="s">
        <v>105</v>
      </c>
      <c r="F165" s="20" t="s">
        <v>12</v>
      </c>
      <c r="G165" s="38">
        <f aca="true" t="shared" si="46" ref="G165:L165">G166+G167+G168</f>
        <v>0</v>
      </c>
      <c r="H165" s="38">
        <f t="shared" si="46"/>
        <v>0</v>
      </c>
      <c r="I165" s="38">
        <f t="shared" si="46"/>
        <v>0</v>
      </c>
      <c r="J165" s="38">
        <f t="shared" si="46"/>
        <v>0</v>
      </c>
      <c r="K165" s="38">
        <f t="shared" si="46"/>
        <v>0</v>
      </c>
      <c r="L165" s="38">
        <f t="shared" si="46"/>
        <v>0</v>
      </c>
      <c r="M165" s="111"/>
    </row>
    <row r="166" spans="1:13" ht="21.75" customHeight="1">
      <c r="A166" s="48"/>
      <c r="B166" s="113"/>
      <c r="C166" s="51"/>
      <c r="D166" s="51"/>
      <c r="E166" s="51"/>
      <c r="F166" s="20" t="s">
        <v>13</v>
      </c>
      <c r="G166" s="38">
        <f>H166+I166+J166+K166+L166</f>
        <v>0</v>
      </c>
      <c r="H166" s="38">
        <v>0</v>
      </c>
      <c r="I166" s="38">
        <v>0</v>
      </c>
      <c r="J166" s="38">
        <v>0</v>
      </c>
      <c r="K166" s="38">
        <v>0</v>
      </c>
      <c r="L166" s="38">
        <v>0</v>
      </c>
      <c r="M166" s="111"/>
    </row>
    <row r="167" spans="1:13" ht="21.75" customHeight="1">
      <c r="A167" s="48"/>
      <c r="B167" s="113"/>
      <c r="C167" s="51"/>
      <c r="D167" s="51"/>
      <c r="E167" s="51"/>
      <c r="F167" s="20" t="s">
        <v>14</v>
      </c>
      <c r="G167" s="38">
        <f>H167+I167+J167+K167+L167</f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111"/>
    </row>
    <row r="168" spans="1:13" ht="21.75" customHeight="1">
      <c r="A168" s="49"/>
      <c r="B168" s="114"/>
      <c r="C168" s="51"/>
      <c r="D168" s="52"/>
      <c r="E168" s="52"/>
      <c r="F168" s="20" t="s">
        <v>15</v>
      </c>
      <c r="G168" s="38">
        <f>H168+I168+J168+K168+L168</f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0</v>
      </c>
      <c r="M168" s="111"/>
    </row>
    <row r="169" spans="1:13" s="15" customFormat="1" ht="21.75" customHeight="1">
      <c r="A169" s="47" t="s">
        <v>158</v>
      </c>
      <c r="B169" s="112" t="s">
        <v>159</v>
      </c>
      <c r="C169" s="50" t="s">
        <v>127</v>
      </c>
      <c r="D169" s="107" t="s">
        <v>160</v>
      </c>
      <c r="E169" s="50" t="s">
        <v>105</v>
      </c>
      <c r="F169" s="20" t="s">
        <v>12</v>
      </c>
      <c r="G169" s="38">
        <f aca="true" t="shared" si="47" ref="G169:L169">G170+G171+G172</f>
        <v>1229256</v>
      </c>
      <c r="H169" s="38">
        <f>H170+H171+H172</f>
        <v>1229256</v>
      </c>
      <c r="I169" s="38">
        <f>I170+I171+I172</f>
        <v>0</v>
      </c>
      <c r="J169" s="38">
        <f>J170+J171+J172</f>
        <v>0</v>
      </c>
      <c r="K169" s="38">
        <f t="shared" si="47"/>
        <v>0</v>
      </c>
      <c r="L169" s="38">
        <f t="shared" si="47"/>
        <v>0</v>
      </c>
      <c r="M169" s="111"/>
    </row>
    <row r="170" spans="1:13" s="15" customFormat="1" ht="21.75" customHeight="1">
      <c r="A170" s="48"/>
      <c r="B170" s="113"/>
      <c r="C170" s="51"/>
      <c r="D170" s="108"/>
      <c r="E170" s="51"/>
      <c r="F170" s="20" t="s">
        <v>13</v>
      </c>
      <c r="G170" s="38">
        <f t="shared" si="42"/>
        <v>368777</v>
      </c>
      <c r="H170" s="38">
        <v>368777</v>
      </c>
      <c r="I170" s="38">
        <v>0</v>
      </c>
      <c r="J170" s="38">
        <v>0</v>
      </c>
      <c r="K170" s="38">
        <v>0</v>
      </c>
      <c r="L170" s="38">
        <v>0</v>
      </c>
      <c r="M170" s="111"/>
    </row>
    <row r="171" spans="1:13" s="15" customFormat="1" ht="21.75" customHeight="1">
      <c r="A171" s="48"/>
      <c r="B171" s="113"/>
      <c r="C171" s="51"/>
      <c r="D171" s="108"/>
      <c r="E171" s="51"/>
      <c r="F171" s="20" t="s">
        <v>14</v>
      </c>
      <c r="G171" s="38">
        <f t="shared" si="42"/>
        <v>860479</v>
      </c>
      <c r="H171" s="38">
        <v>860479</v>
      </c>
      <c r="I171" s="38">
        <v>0</v>
      </c>
      <c r="J171" s="38">
        <v>0</v>
      </c>
      <c r="K171" s="38">
        <v>0</v>
      </c>
      <c r="L171" s="38">
        <v>0</v>
      </c>
      <c r="M171" s="111"/>
    </row>
    <row r="172" spans="1:13" s="15" customFormat="1" ht="21.75" customHeight="1">
      <c r="A172" s="49"/>
      <c r="B172" s="114"/>
      <c r="C172" s="51"/>
      <c r="D172" s="109"/>
      <c r="E172" s="52"/>
      <c r="F172" s="20" t="s">
        <v>15</v>
      </c>
      <c r="G172" s="38">
        <f t="shared" si="42"/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115"/>
    </row>
    <row r="173" spans="1:13" ht="21.75" customHeight="1">
      <c r="A173" s="65" t="s">
        <v>62</v>
      </c>
      <c r="B173" s="68" t="s">
        <v>151</v>
      </c>
      <c r="C173" s="71" t="s">
        <v>127</v>
      </c>
      <c r="D173" s="92" t="s">
        <v>144</v>
      </c>
      <c r="E173" s="71" t="s">
        <v>105</v>
      </c>
      <c r="F173" s="6" t="s">
        <v>12</v>
      </c>
      <c r="G173" s="34">
        <f aca="true" t="shared" si="48" ref="G173:L173">G174+G175+G176</f>
        <v>31551500</v>
      </c>
      <c r="H173" s="34">
        <f>H174+H175+H176</f>
        <v>7530300</v>
      </c>
      <c r="I173" s="34">
        <f>I174+I175+I176</f>
        <v>5980300</v>
      </c>
      <c r="J173" s="34">
        <f>J174+J175+J176</f>
        <v>5980300</v>
      </c>
      <c r="K173" s="34">
        <f t="shared" si="48"/>
        <v>5980300</v>
      </c>
      <c r="L173" s="34">
        <f t="shared" si="48"/>
        <v>6080300</v>
      </c>
      <c r="M173" s="116"/>
    </row>
    <row r="174" spans="1:13" ht="21.75" customHeight="1">
      <c r="A174" s="66"/>
      <c r="B174" s="69"/>
      <c r="C174" s="72"/>
      <c r="D174" s="72"/>
      <c r="E174" s="72"/>
      <c r="F174" s="6" t="s">
        <v>13</v>
      </c>
      <c r="G174" s="34">
        <f>H174+I174+J174+K174+L174</f>
        <v>3950000</v>
      </c>
      <c r="H174" s="34">
        <f aca="true" t="shared" si="49" ref="H174:L176">H178+H182+H186+H194+H190</f>
        <v>1850000</v>
      </c>
      <c r="I174" s="34">
        <f t="shared" si="49"/>
        <v>500000</v>
      </c>
      <c r="J174" s="34">
        <f t="shared" si="49"/>
        <v>500000</v>
      </c>
      <c r="K174" s="34">
        <f t="shared" si="49"/>
        <v>500000</v>
      </c>
      <c r="L174" s="34">
        <f t="shared" si="49"/>
        <v>600000</v>
      </c>
      <c r="M174" s="117"/>
    </row>
    <row r="175" spans="1:13" ht="21.75" customHeight="1">
      <c r="A175" s="66"/>
      <c r="B175" s="69"/>
      <c r="C175" s="72"/>
      <c r="D175" s="72"/>
      <c r="E175" s="72"/>
      <c r="F175" s="6" t="s">
        <v>14</v>
      </c>
      <c r="G175" s="34">
        <f>H175+I175+J175+K175+L175</f>
        <v>27601500</v>
      </c>
      <c r="H175" s="34">
        <f t="shared" si="49"/>
        <v>5680300</v>
      </c>
      <c r="I175" s="34">
        <f t="shared" si="49"/>
        <v>5480300</v>
      </c>
      <c r="J175" s="34">
        <f t="shared" si="49"/>
        <v>5480300</v>
      </c>
      <c r="K175" s="34">
        <f t="shared" si="49"/>
        <v>5480300</v>
      </c>
      <c r="L175" s="34">
        <f t="shared" si="49"/>
        <v>5480300</v>
      </c>
      <c r="M175" s="117"/>
    </row>
    <row r="176" spans="1:13" ht="21.75" customHeight="1">
      <c r="A176" s="67"/>
      <c r="B176" s="70"/>
      <c r="C176" s="73"/>
      <c r="D176" s="73"/>
      <c r="E176" s="73"/>
      <c r="F176" s="6" t="s">
        <v>15</v>
      </c>
      <c r="G176" s="34">
        <f>H176+I176+J176+K176+L176</f>
        <v>0</v>
      </c>
      <c r="H176" s="34">
        <f t="shared" si="49"/>
        <v>0</v>
      </c>
      <c r="I176" s="34">
        <f t="shared" si="49"/>
        <v>0</v>
      </c>
      <c r="J176" s="34">
        <f t="shared" si="49"/>
        <v>0</v>
      </c>
      <c r="K176" s="34">
        <f t="shared" si="49"/>
        <v>0</v>
      </c>
      <c r="L176" s="34">
        <f t="shared" si="49"/>
        <v>0</v>
      </c>
      <c r="M176" s="118"/>
    </row>
    <row r="177" spans="1:13" ht="21.75" customHeight="1">
      <c r="A177" s="47" t="s">
        <v>63</v>
      </c>
      <c r="B177" s="112" t="s">
        <v>64</v>
      </c>
      <c r="C177" s="50" t="s">
        <v>127</v>
      </c>
      <c r="D177" s="98" t="s">
        <v>130</v>
      </c>
      <c r="E177" s="50" t="s">
        <v>105</v>
      </c>
      <c r="F177" s="20" t="s">
        <v>12</v>
      </c>
      <c r="G177" s="38">
        <f aca="true" t="shared" si="50" ref="G177:L177">G178+G179+G180</f>
        <v>1707528.79</v>
      </c>
      <c r="H177" s="38">
        <f>H178+H179+H180</f>
        <v>1426776.79</v>
      </c>
      <c r="I177" s="38">
        <f>I178+I179+I180</f>
        <v>70188</v>
      </c>
      <c r="J177" s="38">
        <f>J178+J179+J180</f>
        <v>70188</v>
      </c>
      <c r="K177" s="38">
        <f t="shared" si="50"/>
        <v>70188</v>
      </c>
      <c r="L177" s="38">
        <f t="shared" si="50"/>
        <v>70188</v>
      </c>
      <c r="M177" s="119" t="s">
        <v>147</v>
      </c>
    </row>
    <row r="178" spans="1:13" ht="21.75" customHeight="1">
      <c r="A178" s="48"/>
      <c r="B178" s="113"/>
      <c r="C178" s="51"/>
      <c r="D178" s="99"/>
      <c r="E178" s="51"/>
      <c r="F178" s="20" t="s">
        <v>13</v>
      </c>
      <c r="G178" s="38">
        <f>H178+I178+J178+K178+L178</f>
        <v>1707528.79</v>
      </c>
      <c r="H178" s="38">
        <f>76776.79+1000000+350000</f>
        <v>1426776.79</v>
      </c>
      <c r="I178" s="38">
        <v>70188</v>
      </c>
      <c r="J178" s="38">
        <v>70188</v>
      </c>
      <c r="K178" s="38">
        <v>70188</v>
      </c>
      <c r="L178" s="38">
        <v>70188</v>
      </c>
      <c r="M178" s="120"/>
    </row>
    <row r="179" spans="1:13" ht="21.75" customHeight="1">
      <c r="A179" s="48"/>
      <c r="B179" s="113"/>
      <c r="C179" s="51"/>
      <c r="D179" s="99"/>
      <c r="E179" s="51"/>
      <c r="F179" s="20" t="s">
        <v>14</v>
      </c>
      <c r="G179" s="38">
        <f>H179+I179+J179+K179+L179</f>
        <v>0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120"/>
    </row>
    <row r="180" spans="1:13" ht="21.75" customHeight="1">
      <c r="A180" s="49"/>
      <c r="B180" s="114"/>
      <c r="C180" s="51"/>
      <c r="D180" s="100"/>
      <c r="E180" s="52"/>
      <c r="F180" s="20" t="s">
        <v>15</v>
      </c>
      <c r="G180" s="38">
        <f>H180+I180+J180+K180+L180</f>
        <v>0</v>
      </c>
      <c r="H180" s="38">
        <v>0</v>
      </c>
      <c r="I180" s="38">
        <v>0</v>
      </c>
      <c r="J180" s="38">
        <v>0</v>
      </c>
      <c r="K180" s="38">
        <v>0</v>
      </c>
      <c r="L180" s="38">
        <v>0</v>
      </c>
      <c r="M180" s="120"/>
    </row>
    <row r="181" spans="1:13" ht="21.75" customHeight="1">
      <c r="A181" s="47" t="s">
        <v>65</v>
      </c>
      <c r="B181" s="112" t="s">
        <v>66</v>
      </c>
      <c r="C181" s="50" t="s">
        <v>127</v>
      </c>
      <c r="D181" s="98" t="s">
        <v>144</v>
      </c>
      <c r="E181" s="50" t="s">
        <v>105</v>
      </c>
      <c r="F181" s="20" t="s">
        <v>12</v>
      </c>
      <c r="G181" s="38">
        <f aca="true" t="shared" si="51" ref="G181:L181">G182+G183+G184</f>
        <v>1165998.21</v>
      </c>
      <c r="H181" s="38">
        <f>H182+H183+H184</f>
        <v>307186.21</v>
      </c>
      <c r="I181" s="38">
        <f>I182+I183+I184</f>
        <v>214703</v>
      </c>
      <c r="J181" s="38">
        <f>J182+J183+J184</f>
        <v>214703</v>
      </c>
      <c r="K181" s="38">
        <f t="shared" si="51"/>
        <v>214703</v>
      </c>
      <c r="L181" s="38">
        <f t="shared" si="51"/>
        <v>214703</v>
      </c>
      <c r="M181" s="120"/>
    </row>
    <row r="182" spans="1:13" ht="21.75" customHeight="1">
      <c r="A182" s="48"/>
      <c r="B182" s="113"/>
      <c r="C182" s="51"/>
      <c r="D182" s="99"/>
      <c r="E182" s="51"/>
      <c r="F182" s="20" t="s">
        <v>13</v>
      </c>
      <c r="G182" s="38">
        <f>H182+I182+J182+K182+L182</f>
        <v>1165998.21</v>
      </c>
      <c r="H182" s="38">
        <f>208362.7+98823.51</f>
        <v>307186.21</v>
      </c>
      <c r="I182" s="38">
        <v>214703</v>
      </c>
      <c r="J182" s="38">
        <v>214703</v>
      </c>
      <c r="K182" s="38">
        <v>214703</v>
      </c>
      <c r="L182" s="38">
        <v>214703</v>
      </c>
      <c r="M182" s="120"/>
    </row>
    <row r="183" spans="1:13" ht="21.75" customHeight="1">
      <c r="A183" s="48"/>
      <c r="B183" s="113"/>
      <c r="C183" s="51"/>
      <c r="D183" s="99"/>
      <c r="E183" s="51"/>
      <c r="F183" s="20" t="s">
        <v>14</v>
      </c>
      <c r="G183" s="38">
        <f>H183+I183+J183+K183+L183</f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120"/>
    </row>
    <row r="184" spans="1:13" ht="21.75" customHeight="1">
      <c r="A184" s="49"/>
      <c r="B184" s="114"/>
      <c r="C184" s="51"/>
      <c r="D184" s="100"/>
      <c r="E184" s="52"/>
      <c r="F184" s="20" t="s">
        <v>15</v>
      </c>
      <c r="G184" s="38">
        <f>H184+I184+J184+K184+L184</f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120"/>
    </row>
    <row r="185" spans="1:13" ht="21.75" customHeight="1">
      <c r="A185" s="47" t="s">
        <v>67</v>
      </c>
      <c r="B185" s="112" t="s">
        <v>108</v>
      </c>
      <c r="C185" s="50" t="s">
        <v>127</v>
      </c>
      <c r="D185" s="50"/>
      <c r="E185" s="50" t="s">
        <v>105</v>
      </c>
      <c r="F185" s="20" t="s">
        <v>12</v>
      </c>
      <c r="G185" s="38">
        <f aca="true" t="shared" si="52" ref="G185:L185">G186+G187+G188</f>
        <v>0</v>
      </c>
      <c r="H185" s="38">
        <f>H186+H187+H188</f>
        <v>0</v>
      </c>
      <c r="I185" s="38">
        <f>I186+I187+I188</f>
        <v>0</v>
      </c>
      <c r="J185" s="38">
        <f>J186+J187+J188</f>
        <v>0</v>
      </c>
      <c r="K185" s="38">
        <f t="shared" si="52"/>
        <v>0</v>
      </c>
      <c r="L185" s="38">
        <f t="shared" si="52"/>
        <v>0</v>
      </c>
      <c r="M185" s="120"/>
    </row>
    <row r="186" spans="1:13" ht="21.75" customHeight="1">
      <c r="A186" s="48"/>
      <c r="B186" s="113"/>
      <c r="C186" s="51"/>
      <c r="D186" s="51"/>
      <c r="E186" s="51"/>
      <c r="F186" s="20" t="s">
        <v>13</v>
      </c>
      <c r="G186" s="38">
        <f>H186+I186+J186+K186+L186</f>
        <v>0</v>
      </c>
      <c r="H186" s="38">
        <v>0</v>
      </c>
      <c r="I186" s="38">
        <v>0</v>
      </c>
      <c r="J186" s="38">
        <v>0</v>
      </c>
      <c r="K186" s="38"/>
      <c r="L186" s="38">
        <v>0</v>
      </c>
      <c r="M186" s="120"/>
    </row>
    <row r="187" spans="1:13" ht="21.75" customHeight="1">
      <c r="A187" s="48"/>
      <c r="B187" s="113"/>
      <c r="C187" s="51"/>
      <c r="D187" s="51"/>
      <c r="E187" s="51"/>
      <c r="F187" s="20" t="s">
        <v>14</v>
      </c>
      <c r="G187" s="38">
        <f>H187+I187+J187+K187+L187</f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120"/>
    </row>
    <row r="188" spans="1:13" ht="21.75" customHeight="1">
      <c r="A188" s="49"/>
      <c r="B188" s="114"/>
      <c r="C188" s="51"/>
      <c r="D188" s="52"/>
      <c r="E188" s="52"/>
      <c r="F188" s="20" t="s">
        <v>15</v>
      </c>
      <c r="G188" s="38">
        <f>H188+I188+J188+K188+L188</f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120"/>
    </row>
    <row r="189" spans="1:13" ht="21.75" customHeight="1">
      <c r="A189" s="22"/>
      <c r="B189" s="112" t="s">
        <v>103</v>
      </c>
      <c r="C189" s="50" t="s">
        <v>127</v>
      </c>
      <c r="D189" s="98" t="s">
        <v>129</v>
      </c>
      <c r="E189" s="50" t="s">
        <v>105</v>
      </c>
      <c r="F189" s="20" t="s">
        <v>12</v>
      </c>
      <c r="G189" s="38">
        <f aca="true" t="shared" si="53" ref="G189:L189">G190+G191+G192</f>
        <v>1176473</v>
      </c>
      <c r="H189" s="38">
        <f t="shared" si="53"/>
        <v>316037</v>
      </c>
      <c r="I189" s="38">
        <f t="shared" si="53"/>
        <v>215109</v>
      </c>
      <c r="J189" s="38">
        <f t="shared" si="53"/>
        <v>215109</v>
      </c>
      <c r="K189" s="38">
        <f t="shared" si="53"/>
        <v>215109</v>
      </c>
      <c r="L189" s="38">
        <f t="shared" si="53"/>
        <v>215109</v>
      </c>
      <c r="M189" s="120"/>
    </row>
    <row r="190" spans="1:13" ht="21.75" customHeight="1">
      <c r="A190" s="12" t="s">
        <v>101</v>
      </c>
      <c r="B190" s="113"/>
      <c r="C190" s="51"/>
      <c r="D190" s="99"/>
      <c r="E190" s="51"/>
      <c r="F190" s="20" t="s">
        <v>13</v>
      </c>
      <c r="G190" s="38">
        <f>H190+I190+J190+K190+L190</f>
        <v>976473</v>
      </c>
      <c r="H190" s="38">
        <v>116037</v>
      </c>
      <c r="I190" s="38">
        <v>215109</v>
      </c>
      <c r="J190" s="38">
        <v>215109</v>
      </c>
      <c r="K190" s="38">
        <v>215109</v>
      </c>
      <c r="L190" s="38">
        <v>215109</v>
      </c>
      <c r="M190" s="120"/>
    </row>
    <row r="191" spans="1:13" ht="21.75" customHeight="1">
      <c r="A191" s="22"/>
      <c r="B191" s="113"/>
      <c r="C191" s="51"/>
      <c r="D191" s="99"/>
      <c r="E191" s="51"/>
      <c r="F191" s="20" t="s">
        <v>14</v>
      </c>
      <c r="G191" s="38">
        <f>H191+I191+J191+K191+L191</f>
        <v>200000</v>
      </c>
      <c r="H191" s="38">
        <v>200000</v>
      </c>
      <c r="I191" s="38">
        <v>0</v>
      </c>
      <c r="J191" s="38">
        <v>0</v>
      </c>
      <c r="K191" s="38">
        <v>0</v>
      </c>
      <c r="L191" s="38">
        <v>0</v>
      </c>
      <c r="M191" s="120"/>
    </row>
    <row r="192" spans="1:13" ht="21.75" customHeight="1">
      <c r="A192" s="22"/>
      <c r="B192" s="114"/>
      <c r="C192" s="51"/>
      <c r="D192" s="100"/>
      <c r="E192" s="52"/>
      <c r="F192" s="20" t="s">
        <v>15</v>
      </c>
      <c r="G192" s="38">
        <f>H192+I192+J192+K192+L192</f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120"/>
    </row>
    <row r="193" spans="1:13" ht="21.75" customHeight="1">
      <c r="A193" s="47" t="s">
        <v>102</v>
      </c>
      <c r="B193" s="112" t="s">
        <v>78</v>
      </c>
      <c r="C193" s="50" t="s">
        <v>127</v>
      </c>
      <c r="D193" s="98" t="s">
        <v>143</v>
      </c>
      <c r="E193" s="50" t="s">
        <v>105</v>
      </c>
      <c r="F193" s="20" t="s">
        <v>12</v>
      </c>
      <c r="G193" s="38">
        <f aca="true" t="shared" si="54" ref="G193:L193">G194+G195+G196</f>
        <v>27501500</v>
      </c>
      <c r="H193" s="38">
        <f t="shared" si="54"/>
        <v>5480300</v>
      </c>
      <c r="I193" s="38">
        <f t="shared" si="54"/>
        <v>5480300</v>
      </c>
      <c r="J193" s="38">
        <f t="shared" si="54"/>
        <v>5480300</v>
      </c>
      <c r="K193" s="38">
        <f t="shared" si="54"/>
        <v>5480300</v>
      </c>
      <c r="L193" s="38">
        <f t="shared" si="54"/>
        <v>5580300</v>
      </c>
      <c r="M193" s="120"/>
    </row>
    <row r="194" spans="1:13" ht="21.75" customHeight="1">
      <c r="A194" s="48"/>
      <c r="B194" s="113"/>
      <c r="C194" s="51"/>
      <c r="D194" s="99"/>
      <c r="E194" s="51"/>
      <c r="F194" s="20" t="s">
        <v>13</v>
      </c>
      <c r="G194" s="38">
        <f>H194+I194+J194+K194+L194</f>
        <v>100000</v>
      </c>
      <c r="H194" s="38">
        <v>0</v>
      </c>
      <c r="I194" s="38">
        <v>0</v>
      </c>
      <c r="J194" s="38">
        <v>0</v>
      </c>
      <c r="K194" s="38">
        <v>0</v>
      </c>
      <c r="L194" s="38">
        <v>100000</v>
      </c>
      <c r="M194" s="120"/>
    </row>
    <row r="195" spans="1:13" ht="21.75" customHeight="1">
      <c r="A195" s="48"/>
      <c r="B195" s="113"/>
      <c r="C195" s="51"/>
      <c r="D195" s="99"/>
      <c r="E195" s="51"/>
      <c r="F195" s="20" t="s">
        <v>14</v>
      </c>
      <c r="G195" s="38">
        <f>H195+I195+J195+K195+L195</f>
        <v>27401500</v>
      </c>
      <c r="H195" s="38">
        <v>5480300</v>
      </c>
      <c r="I195" s="38">
        <v>5480300</v>
      </c>
      <c r="J195" s="38">
        <v>5480300</v>
      </c>
      <c r="K195" s="38">
        <v>5480300</v>
      </c>
      <c r="L195" s="38">
        <v>5480300</v>
      </c>
      <c r="M195" s="120"/>
    </row>
    <row r="196" spans="1:13" ht="21.75" customHeight="1">
      <c r="A196" s="49"/>
      <c r="B196" s="114"/>
      <c r="C196" s="51"/>
      <c r="D196" s="100"/>
      <c r="E196" s="52"/>
      <c r="F196" s="20" t="s">
        <v>15</v>
      </c>
      <c r="G196" s="38">
        <f>H196+I196+J196+K196+L196</f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120"/>
    </row>
    <row r="197" spans="1:13" ht="21.75" customHeight="1">
      <c r="A197" s="65" t="s">
        <v>68</v>
      </c>
      <c r="B197" s="68" t="s">
        <v>152</v>
      </c>
      <c r="C197" s="71" t="s">
        <v>127</v>
      </c>
      <c r="D197" s="104" t="s">
        <v>128</v>
      </c>
      <c r="E197" s="71" t="s">
        <v>105</v>
      </c>
      <c r="F197" s="6" t="s">
        <v>12</v>
      </c>
      <c r="G197" s="34">
        <f aca="true" t="shared" si="55" ref="G197:L197">G198+G199+G200</f>
        <v>3000000</v>
      </c>
      <c r="H197" s="34">
        <f t="shared" si="55"/>
        <v>600000</v>
      </c>
      <c r="I197" s="34">
        <f t="shared" si="55"/>
        <v>600000</v>
      </c>
      <c r="J197" s="34">
        <f t="shared" si="55"/>
        <v>600000</v>
      </c>
      <c r="K197" s="34">
        <f t="shared" si="55"/>
        <v>600000</v>
      </c>
      <c r="L197" s="34">
        <f t="shared" si="55"/>
        <v>600000</v>
      </c>
      <c r="M197" s="116"/>
    </row>
    <row r="198" spans="1:13" ht="21.75" customHeight="1">
      <c r="A198" s="66"/>
      <c r="B198" s="69"/>
      <c r="C198" s="72"/>
      <c r="D198" s="105"/>
      <c r="E198" s="72"/>
      <c r="F198" s="6" t="s">
        <v>13</v>
      </c>
      <c r="G198" s="34">
        <f>H198+I198+J198+K198+L198</f>
        <v>3000000</v>
      </c>
      <c r="H198" s="34">
        <f>H202+H206+H218+H222+H226+H209+H213</f>
        <v>600000</v>
      </c>
      <c r="I198" s="34">
        <f>I202+I206+I218+I222+I226+I209+I213</f>
        <v>600000</v>
      </c>
      <c r="J198" s="34">
        <f>J202+J206+J218+J222+J226+J209+J213</f>
        <v>600000</v>
      </c>
      <c r="K198" s="34">
        <f>K202+K206+K218+K222+K226+K209+K213</f>
        <v>600000</v>
      </c>
      <c r="L198" s="34">
        <f>L202+L206+L218+L222+L226+L209+L213</f>
        <v>600000</v>
      </c>
      <c r="M198" s="117"/>
    </row>
    <row r="199" spans="1:13" ht="21.75" customHeight="1">
      <c r="A199" s="66"/>
      <c r="B199" s="69"/>
      <c r="C199" s="72"/>
      <c r="D199" s="105"/>
      <c r="E199" s="72"/>
      <c r="F199" s="6" t="s">
        <v>14</v>
      </c>
      <c r="G199" s="34">
        <f>H199+I199+J199+K199+L199</f>
        <v>0</v>
      </c>
      <c r="H199" s="34">
        <f aca="true" t="shared" si="56" ref="H199:L200">H203+H207+H219+H223+H79+H227</f>
        <v>0</v>
      </c>
      <c r="I199" s="34">
        <f t="shared" si="56"/>
        <v>0</v>
      </c>
      <c r="J199" s="34">
        <f t="shared" si="56"/>
        <v>0</v>
      </c>
      <c r="K199" s="34">
        <f t="shared" si="56"/>
        <v>0</v>
      </c>
      <c r="L199" s="34">
        <f t="shared" si="56"/>
        <v>0</v>
      </c>
      <c r="M199" s="117"/>
    </row>
    <row r="200" spans="1:13" ht="21.75" customHeight="1">
      <c r="A200" s="67"/>
      <c r="B200" s="70"/>
      <c r="C200" s="73"/>
      <c r="D200" s="106"/>
      <c r="E200" s="73"/>
      <c r="F200" s="6" t="s">
        <v>15</v>
      </c>
      <c r="G200" s="34">
        <f>H200+I200+J200+K200+L200</f>
        <v>0</v>
      </c>
      <c r="H200" s="34">
        <f t="shared" si="56"/>
        <v>0</v>
      </c>
      <c r="I200" s="34">
        <f t="shared" si="56"/>
        <v>0</v>
      </c>
      <c r="J200" s="34">
        <f t="shared" si="56"/>
        <v>0</v>
      </c>
      <c r="K200" s="34">
        <f t="shared" si="56"/>
        <v>0</v>
      </c>
      <c r="L200" s="34">
        <f t="shared" si="56"/>
        <v>0</v>
      </c>
      <c r="M200" s="118"/>
    </row>
    <row r="201" spans="1:13" ht="21.75" customHeight="1">
      <c r="A201" s="47" t="s">
        <v>69</v>
      </c>
      <c r="B201" s="112" t="s">
        <v>70</v>
      </c>
      <c r="C201" s="50" t="s">
        <v>127</v>
      </c>
      <c r="D201" s="50"/>
      <c r="E201" s="50" t="s">
        <v>105</v>
      </c>
      <c r="F201" s="20" t="s">
        <v>12</v>
      </c>
      <c r="G201" s="38">
        <f aca="true" t="shared" si="57" ref="G201:L201">G202+G203+G204</f>
        <v>0</v>
      </c>
      <c r="H201" s="38">
        <f>H202+H203+H204</f>
        <v>0</v>
      </c>
      <c r="I201" s="38">
        <f>I202+I203+I204</f>
        <v>0</v>
      </c>
      <c r="J201" s="38">
        <f>J202+J203+J204</f>
        <v>0</v>
      </c>
      <c r="K201" s="38">
        <f t="shared" si="57"/>
        <v>0</v>
      </c>
      <c r="L201" s="38">
        <f t="shared" si="57"/>
        <v>0</v>
      </c>
      <c r="M201" s="110" t="s">
        <v>148</v>
      </c>
    </row>
    <row r="202" spans="1:13" ht="21.75" customHeight="1">
      <c r="A202" s="48"/>
      <c r="B202" s="113"/>
      <c r="C202" s="51"/>
      <c r="D202" s="51"/>
      <c r="E202" s="51"/>
      <c r="F202" s="20" t="s">
        <v>13</v>
      </c>
      <c r="G202" s="38">
        <f>H202+I202+J202+K202+L202</f>
        <v>0</v>
      </c>
      <c r="H202" s="38">
        <v>0</v>
      </c>
      <c r="I202" s="38">
        <v>0</v>
      </c>
      <c r="J202" s="38">
        <v>0</v>
      </c>
      <c r="K202" s="38">
        <v>0</v>
      </c>
      <c r="L202" s="38">
        <v>0</v>
      </c>
      <c r="M202" s="111"/>
    </row>
    <row r="203" spans="1:13" ht="21.75" customHeight="1">
      <c r="A203" s="48"/>
      <c r="B203" s="113"/>
      <c r="C203" s="51"/>
      <c r="D203" s="51"/>
      <c r="E203" s="51"/>
      <c r="F203" s="20" t="s">
        <v>14</v>
      </c>
      <c r="G203" s="38">
        <f>H203+I203+J203+K203+L203</f>
        <v>0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111"/>
    </row>
    <row r="204" spans="1:13" ht="21.75" customHeight="1">
      <c r="A204" s="49"/>
      <c r="B204" s="114"/>
      <c r="C204" s="51"/>
      <c r="D204" s="52"/>
      <c r="E204" s="52"/>
      <c r="F204" s="20" t="s">
        <v>15</v>
      </c>
      <c r="G204" s="38">
        <f>H204+I204+J204+K204+L204</f>
        <v>0</v>
      </c>
      <c r="H204" s="38">
        <v>0</v>
      </c>
      <c r="I204" s="38">
        <v>0</v>
      </c>
      <c r="J204" s="38">
        <v>0</v>
      </c>
      <c r="K204" s="38">
        <v>0</v>
      </c>
      <c r="L204" s="38">
        <v>0</v>
      </c>
      <c r="M204" s="111"/>
    </row>
    <row r="205" spans="1:13" ht="21.75" customHeight="1">
      <c r="A205" s="47" t="s">
        <v>71</v>
      </c>
      <c r="B205" s="112" t="s">
        <v>113</v>
      </c>
      <c r="C205" s="50" t="s">
        <v>127</v>
      </c>
      <c r="D205" s="101" t="s">
        <v>126</v>
      </c>
      <c r="E205" s="50" t="s">
        <v>105</v>
      </c>
      <c r="F205" s="20" t="s">
        <v>12</v>
      </c>
      <c r="G205" s="38">
        <f aca="true" t="shared" si="58" ref="G205:L205">G206+G207+G208</f>
        <v>1175000</v>
      </c>
      <c r="H205" s="38">
        <f>H206+H207+H208</f>
        <v>235000</v>
      </c>
      <c r="I205" s="38">
        <f>I206+I207+I208</f>
        <v>235000</v>
      </c>
      <c r="J205" s="38">
        <f>J206+J207+J208</f>
        <v>235000</v>
      </c>
      <c r="K205" s="38">
        <f t="shared" si="58"/>
        <v>235000</v>
      </c>
      <c r="L205" s="38">
        <f t="shared" si="58"/>
        <v>235000</v>
      </c>
      <c r="M205" s="111"/>
    </row>
    <row r="206" spans="1:13" ht="21.75" customHeight="1">
      <c r="A206" s="48"/>
      <c r="B206" s="113"/>
      <c r="C206" s="51"/>
      <c r="D206" s="102"/>
      <c r="E206" s="51"/>
      <c r="F206" s="20" t="s">
        <v>13</v>
      </c>
      <c r="G206" s="38">
        <f>H206+I206+J206+K206+L206</f>
        <v>1175000</v>
      </c>
      <c r="H206" s="38">
        <v>235000</v>
      </c>
      <c r="I206" s="38">
        <v>235000</v>
      </c>
      <c r="J206" s="38">
        <v>235000</v>
      </c>
      <c r="K206" s="38">
        <v>235000</v>
      </c>
      <c r="L206" s="38">
        <v>235000</v>
      </c>
      <c r="M206" s="111"/>
    </row>
    <row r="207" spans="1:13" ht="21.75" customHeight="1">
      <c r="A207" s="48"/>
      <c r="B207" s="113"/>
      <c r="C207" s="51"/>
      <c r="D207" s="102"/>
      <c r="E207" s="51"/>
      <c r="F207" s="20" t="s">
        <v>14</v>
      </c>
      <c r="G207" s="38">
        <f>H207+I207+J207+K207+L207</f>
        <v>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111"/>
    </row>
    <row r="208" spans="1:13" ht="21.75" customHeight="1">
      <c r="A208" s="49"/>
      <c r="B208" s="114"/>
      <c r="C208" s="51"/>
      <c r="D208" s="103"/>
      <c r="E208" s="52"/>
      <c r="F208" s="20" t="s">
        <v>15</v>
      </c>
      <c r="G208" s="38">
        <f>H208+I208+J208+K208+L208</f>
        <v>0</v>
      </c>
      <c r="H208" s="38">
        <v>0</v>
      </c>
      <c r="I208" s="38">
        <v>0</v>
      </c>
      <c r="J208" s="38">
        <v>0</v>
      </c>
      <c r="K208" s="38">
        <v>0</v>
      </c>
      <c r="L208" s="38">
        <v>0</v>
      </c>
      <c r="M208" s="111"/>
    </row>
    <row r="209" spans="1:13" ht="21.75" customHeight="1">
      <c r="A209" s="50" t="s">
        <v>72</v>
      </c>
      <c r="B209" s="112" t="s">
        <v>114</v>
      </c>
      <c r="C209" s="50" t="s">
        <v>127</v>
      </c>
      <c r="D209" s="101" t="s">
        <v>128</v>
      </c>
      <c r="E209" s="50" t="s">
        <v>105</v>
      </c>
      <c r="F209" s="20" t="s">
        <v>12</v>
      </c>
      <c r="G209" s="38">
        <f aca="true" t="shared" si="59" ref="G209:L209">G210+G211+G212</f>
        <v>625000</v>
      </c>
      <c r="H209" s="38">
        <f t="shared" si="59"/>
        <v>125000</v>
      </c>
      <c r="I209" s="38">
        <f t="shared" si="59"/>
        <v>125000</v>
      </c>
      <c r="J209" s="38">
        <f t="shared" si="59"/>
        <v>125000</v>
      </c>
      <c r="K209" s="38">
        <f t="shared" si="59"/>
        <v>125000</v>
      </c>
      <c r="L209" s="38">
        <f t="shared" si="59"/>
        <v>125000</v>
      </c>
      <c r="M209" s="111"/>
    </row>
    <row r="210" spans="1:13" ht="21.75" customHeight="1">
      <c r="A210" s="51"/>
      <c r="B210" s="113"/>
      <c r="C210" s="51"/>
      <c r="D210" s="102"/>
      <c r="E210" s="51"/>
      <c r="F210" s="20" t="s">
        <v>13</v>
      </c>
      <c r="G210" s="38">
        <f>H210+I210+J210+K210+L210</f>
        <v>625000</v>
      </c>
      <c r="H210" s="38">
        <v>125000</v>
      </c>
      <c r="I210" s="38">
        <v>125000</v>
      </c>
      <c r="J210" s="38">
        <v>125000</v>
      </c>
      <c r="K210" s="38">
        <v>125000</v>
      </c>
      <c r="L210" s="38">
        <v>125000</v>
      </c>
      <c r="M210" s="111"/>
    </row>
    <row r="211" spans="1:13" ht="21.75" customHeight="1">
      <c r="A211" s="51"/>
      <c r="B211" s="113"/>
      <c r="C211" s="51"/>
      <c r="D211" s="102"/>
      <c r="E211" s="51"/>
      <c r="F211" s="20" t="s">
        <v>14</v>
      </c>
      <c r="G211" s="38">
        <f>H211+I211+J211+K211+L211</f>
        <v>0</v>
      </c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111"/>
    </row>
    <row r="212" spans="1:13" ht="21.75" customHeight="1">
      <c r="A212" s="52"/>
      <c r="B212" s="114"/>
      <c r="C212" s="51"/>
      <c r="D212" s="103"/>
      <c r="E212" s="52"/>
      <c r="F212" s="20" t="s">
        <v>15</v>
      </c>
      <c r="G212" s="38">
        <f>H212+I212+J212+K212+L212</f>
        <v>0</v>
      </c>
      <c r="H212" s="38">
        <v>0</v>
      </c>
      <c r="I212" s="38">
        <v>0</v>
      </c>
      <c r="J212" s="38">
        <v>0</v>
      </c>
      <c r="K212" s="38">
        <v>0</v>
      </c>
      <c r="L212" s="38">
        <v>0</v>
      </c>
      <c r="M212" s="111"/>
    </row>
    <row r="213" spans="1:13" ht="21.75" customHeight="1">
      <c r="A213" s="50" t="s">
        <v>73</v>
      </c>
      <c r="B213" s="112" t="s">
        <v>110</v>
      </c>
      <c r="C213" s="50" t="s">
        <v>127</v>
      </c>
      <c r="D213" s="101" t="s">
        <v>126</v>
      </c>
      <c r="E213" s="50" t="s">
        <v>105</v>
      </c>
      <c r="F213" s="20" t="s">
        <v>12</v>
      </c>
      <c r="G213" s="38">
        <f aca="true" t="shared" si="60" ref="G213:L213">G214+G215+G216</f>
        <v>1000000</v>
      </c>
      <c r="H213" s="38">
        <f t="shared" si="60"/>
        <v>200000</v>
      </c>
      <c r="I213" s="38">
        <f t="shared" si="60"/>
        <v>200000</v>
      </c>
      <c r="J213" s="38">
        <f t="shared" si="60"/>
        <v>200000</v>
      </c>
      <c r="K213" s="38">
        <f t="shared" si="60"/>
        <v>200000</v>
      </c>
      <c r="L213" s="38">
        <f t="shared" si="60"/>
        <v>200000</v>
      </c>
      <c r="M213" s="111"/>
    </row>
    <row r="214" spans="1:13" ht="21.75" customHeight="1">
      <c r="A214" s="51"/>
      <c r="B214" s="113"/>
      <c r="C214" s="51"/>
      <c r="D214" s="102"/>
      <c r="E214" s="51"/>
      <c r="F214" s="20" t="s">
        <v>13</v>
      </c>
      <c r="G214" s="38">
        <f>H214+I214+J214+K214+L214</f>
        <v>1000000</v>
      </c>
      <c r="H214" s="38">
        <v>200000</v>
      </c>
      <c r="I214" s="38">
        <v>200000</v>
      </c>
      <c r="J214" s="38">
        <v>200000</v>
      </c>
      <c r="K214" s="38">
        <v>200000</v>
      </c>
      <c r="L214" s="38">
        <v>200000</v>
      </c>
      <c r="M214" s="111"/>
    </row>
    <row r="215" spans="1:13" ht="21.75" customHeight="1">
      <c r="A215" s="51"/>
      <c r="B215" s="113"/>
      <c r="C215" s="51"/>
      <c r="D215" s="102"/>
      <c r="E215" s="51"/>
      <c r="F215" s="20" t="s">
        <v>14</v>
      </c>
      <c r="G215" s="38">
        <f>H215+I215+J215+K215+L215</f>
        <v>0</v>
      </c>
      <c r="H215" s="38">
        <v>0</v>
      </c>
      <c r="I215" s="38">
        <v>0</v>
      </c>
      <c r="J215" s="38">
        <v>0</v>
      </c>
      <c r="K215" s="38">
        <v>0</v>
      </c>
      <c r="L215" s="38">
        <v>0</v>
      </c>
      <c r="M215" s="111"/>
    </row>
    <row r="216" spans="1:13" ht="21.75" customHeight="1">
      <c r="A216" s="52"/>
      <c r="B216" s="114"/>
      <c r="C216" s="51"/>
      <c r="D216" s="103"/>
      <c r="E216" s="52"/>
      <c r="F216" s="20" t="s">
        <v>15</v>
      </c>
      <c r="G216" s="38">
        <f>H216+I216+J216+K216+L216</f>
        <v>0</v>
      </c>
      <c r="H216" s="38">
        <v>0</v>
      </c>
      <c r="I216" s="38">
        <v>0</v>
      </c>
      <c r="J216" s="38">
        <v>0</v>
      </c>
      <c r="K216" s="38">
        <v>0</v>
      </c>
      <c r="L216" s="38">
        <v>0</v>
      </c>
      <c r="M216" s="111"/>
    </row>
    <row r="217" spans="1:13" ht="21.75" customHeight="1">
      <c r="A217" s="47" t="s">
        <v>85</v>
      </c>
      <c r="B217" s="112" t="s">
        <v>88</v>
      </c>
      <c r="C217" s="50" t="s">
        <v>127</v>
      </c>
      <c r="D217" s="101" t="s">
        <v>126</v>
      </c>
      <c r="E217" s="50" t="s">
        <v>105</v>
      </c>
      <c r="F217" s="20" t="s">
        <v>12</v>
      </c>
      <c r="G217" s="38">
        <f aca="true" t="shared" si="61" ref="G217:L217">G218+G219+G220</f>
        <v>200000</v>
      </c>
      <c r="H217" s="38">
        <f>H218+H219+H220</f>
        <v>40000</v>
      </c>
      <c r="I217" s="38">
        <f>I218+I219+I220</f>
        <v>40000</v>
      </c>
      <c r="J217" s="38">
        <f>J218+J219+J220</f>
        <v>40000</v>
      </c>
      <c r="K217" s="38">
        <f t="shared" si="61"/>
        <v>40000</v>
      </c>
      <c r="L217" s="38">
        <f t="shared" si="61"/>
        <v>40000</v>
      </c>
      <c r="M217" s="111"/>
    </row>
    <row r="218" spans="1:13" ht="21.75" customHeight="1">
      <c r="A218" s="48"/>
      <c r="B218" s="113"/>
      <c r="C218" s="51"/>
      <c r="D218" s="102"/>
      <c r="E218" s="51"/>
      <c r="F218" s="20" t="s">
        <v>13</v>
      </c>
      <c r="G218" s="38">
        <f>H218+I218+J218+K218+L218</f>
        <v>200000</v>
      </c>
      <c r="H218" s="38">
        <v>40000</v>
      </c>
      <c r="I218" s="38">
        <v>40000</v>
      </c>
      <c r="J218" s="38">
        <v>40000</v>
      </c>
      <c r="K218" s="38">
        <v>40000</v>
      </c>
      <c r="L218" s="38">
        <v>40000</v>
      </c>
      <c r="M218" s="111"/>
    </row>
    <row r="219" spans="1:13" ht="21.75" customHeight="1">
      <c r="A219" s="48"/>
      <c r="B219" s="113"/>
      <c r="C219" s="51"/>
      <c r="D219" s="102"/>
      <c r="E219" s="51"/>
      <c r="F219" s="20" t="s">
        <v>14</v>
      </c>
      <c r="G219" s="38">
        <f>H219+I219+J219+K219+L219</f>
        <v>0</v>
      </c>
      <c r="H219" s="38">
        <v>0</v>
      </c>
      <c r="I219" s="38">
        <v>0</v>
      </c>
      <c r="J219" s="38">
        <v>0</v>
      </c>
      <c r="K219" s="38">
        <v>0</v>
      </c>
      <c r="L219" s="38">
        <v>0</v>
      </c>
      <c r="M219" s="111"/>
    </row>
    <row r="220" spans="1:13" ht="21.75" customHeight="1">
      <c r="A220" s="49"/>
      <c r="B220" s="114"/>
      <c r="C220" s="51"/>
      <c r="D220" s="103"/>
      <c r="E220" s="52"/>
      <c r="F220" s="20" t="s">
        <v>15</v>
      </c>
      <c r="G220" s="38">
        <f>H220+I220+J220+K220+L220</f>
        <v>0</v>
      </c>
      <c r="H220" s="38">
        <v>0</v>
      </c>
      <c r="I220" s="38">
        <v>0</v>
      </c>
      <c r="J220" s="38">
        <v>0</v>
      </c>
      <c r="K220" s="38">
        <v>0</v>
      </c>
      <c r="L220" s="38">
        <v>0</v>
      </c>
      <c r="M220" s="111"/>
    </row>
    <row r="221" spans="1:13" ht="21.75" customHeight="1">
      <c r="A221" s="47" t="s">
        <v>111</v>
      </c>
      <c r="B221" s="112" t="s">
        <v>90</v>
      </c>
      <c r="C221" s="50" t="s">
        <v>127</v>
      </c>
      <c r="D221" s="50"/>
      <c r="E221" s="50" t="s">
        <v>105</v>
      </c>
      <c r="F221" s="20" t="s">
        <v>12</v>
      </c>
      <c r="G221" s="38">
        <f aca="true" t="shared" si="62" ref="G221:L221">G222+G223+G224</f>
        <v>0</v>
      </c>
      <c r="H221" s="38">
        <f t="shared" si="62"/>
        <v>0</v>
      </c>
      <c r="I221" s="38">
        <f t="shared" si="62"/>
        <v>0</v>
      </c>
      <c r="J221" s="38">
        <f t="shared" si="62"/>
        <v>0</v>
      </c>
      <c r="K221" s="38">
        <f t="shared" si="62"/>
        <v>0</v>
      </c>
      <c r="L221" s="38">
        <f t="shared" si="62"/>
        <v>0</v>
      </c>
      <c r="M221" s="111"/>
    </row>
    <row r="222" spans="1:13" ht="21.75" customHeight="1">
      <c r="A222" s="48"/>
      <c r="B222" s="113"/>
      <c r="C222" s="51"/>
      <c r="D222" s="51"/>
      <c r="E222" s="51"/>
      <c r="F222" s="20" t="s">
        <v>13</v>
      </c>
      <c r="G222" s="38">
        <f>H222+I222+J222+K222+L222</f>
        <v>0</v>
      </c>
      <c r="H222" s="38">
        <v>0</v>
      </c>
      <c r="I222" s="38">
        <v>0</v>
      </c>
      <c r="J222" s="38">
        <v>0</v>
      </c>
      <c r="K222" s="38">
        <v>0</v>
      </c>
      <c r="L222" s="38">
        <v>0</v>
      </c>
      <c r="M222" s="111"/>
    </row>
    <row r="223" spans="1:13" ht="21.75" customHeight="1">
      <c r="A223" s="48"/>
      <c r="B223" s="113"/>
      <c r="C223" s="51"/>
      <c r="D223" s="51"/>
      <c r="E223" s="51"/>
      <c r="F223" s="20" t="s">
        <v>14</v>
      </c>
      <c r="G223" s="38">
        <f>H223+I223+J223+K223+L223</f>
        <v>0</v>
      </c>
      <c r="H223" s="38">
        <v>0</v>
      </c>
      <c r="I223" s="38">
        <v>0</v>
      </c>
      <c r="J223" s="38">
        <v>0</v>
      </c>
      <c r="K223" s="38">
        <v>0</v>
      </c>
      <c r="L223" s="38">
        <v>0</v>
      </c>
      <c r="M223" s="111"/>
    </row>
    <row r="224" spans="1:13" ht="21.75" customHeight="1">
      <c r="A224" s="49"/>
      <c r="B224" s="114"/>
      <c r="C224" s="51"/>
      <c r="D224" s="52"/>
      <c r="E224" s="52"/>
      <c r="F224" s="20" t="s">
        <v>15</v>
      </c>
      <c r="G224" s="38">
        <f>H224+I224+J224+K224+L224</f>
        <v>0</v>
      </c>
      <c r="H224" s="38">
        <v>0</v>
      </c>
      <c r="I224" s="38">
        <v>0</v>
      </c>
      <c r="J224" s="38">
        <v>0</v>
      </c>
      <c r="K224" s="38">
        <v>0</v>
      </c>
      <c r="L224" s="38">
        <v>0</v>
      </c>
      <c r="M224" s="111"/>
    </row>
    <row r="225" spans="1:13" ht="21.75" customHeight="1">
      <c r="A225" s="22"/>
      <c r="B225" s="112" t="s">
        <v>104</v>
      </c>
      <c r="C225" s="50" t="s">
        <v>127</v>
      </c>
      <c r="D225" s="50"/>
      <c r="E225" s="50" t="s">
        <v>105</v>
      </c>
      <c r="F225" s="20" t="s">
        <v>12</v>
      </c>
      <c r="G225" s="38">
        <f aca="true" t="shared" si="63" ref="G225:L225">G226+G227+G228</f>
        <v>0</v>
      </c>
      <c r="H225" s="38">
        <f t="shared" si="63"/>
        <v>0</v>
      </c>
      <c r="I225" s="38">
        <f t="shared" si="63"/>
        <v>0</v>
      </c>
      <c r="J225" s="38">
        <f t="shared" si="63"/>
        <v>0</v>
      </c>
      <c r="K225" s="38">
        <f t="shared" si="63"/>
        <v>0</v>
      </c>
      <c r="L225" s="38">
        <f t="shared" si="63"/>
        <v>0</v>
      </c>
      <c r="M225" s="111"/>
    </row>
    <row r="226" spans="1:13" ht="21.75" customHeight="1">
      <c r="A226" s="22" t="s">
        <v>112</v>
      </c>
      <c r="B226" s="113"/>
      <c r="C226" s="51"/>
      <c r="D226" s="51"/>
      <c r="E226" s="51"/>
      <c r="F226" s="20" t="s">
        <v>13</v>
      </c>
      <c r="G226" s="39">
        <f>H226+I226+J226+K226+L226</f>
        <v>0</v>
      </c>
      <c r="H226" s="38">
        <v>0</v>
      </c>
      <c r="I226" s="38">
        <v>0</v>
      </c>
      <c r="J226" s="38">
        <v>0</v>
      </c>
      <c r="K226" s="38">
        <v>0</v>
      </c>
      <c r="L226" s="38">
        <v>0</v>
      </c>
      <c r="M226" s="111"/>
    </row>
    <row r="227" spans="1:13" ht="21.75" customHeight="1">
      <c r="A227" s="22"/>
      <c r="B227" s="113"/>
      <c r="C227" s="51"/>
      <c r="D227" s="51"/>
      <c r="E227" s="51"/>
      <c r="F227" s="20" t="s">
        <v>14</v>
      </c>
      <c r="G227" s="39">
        <f>H227+I227+J227+K227+L227</f>
        <v>0</v>
      </c>
      <c r="H227" s="38">
        <v>0</v>
      </c>
      <c r="I227" s="38">
        <v>0</v>
      </c>
      <c r="J227" s="38">
        <v>0</v>
      </c>
      <c r="K227" s="38">
        <v>0</v>
      </c>
      <c r="L227" s="38">
        <v>0</v>
      </c>
      <c r="M227" s="111"/>
    </row>
    <row r="228" spans="1:13" ht="21.75" customHeight="1">
      <c r="A228" s="22"/>
      <c r="B228" s="114"/>
      <c r="C228" s="51"/>
      <c r="D228" s="52"/>
      <c r="E228" s="52"/>
      <c r="F228" s="20" t="s">
        <v>15</v>
      </c>
      <c r="G228" s="39">
        <f>H228+I228+J228+K228+L228</f>
        <v>0</v>
      </c>
      <c r="H228" s="38">
        <v>0</v>
      </c>
      <c r="I228" s="38">
        <v>0</v>
      </c>
      <c r="J228" s="38">
        <v>0</v>
      </c>
      <c r="K228" s="38">
        <v>0</v>
      </c>
      <c r="L228" s="38">
        <v>0</v>
      </c>
      <c r="M228" s="115"/>
    </row>
    <row r="229" spans="1:13" ht="21.75" customHeight="1">
      <c r="A229" s="65">
        <v>5</v>
      </c>
      <c r="B229" s="68" t="s">
        <v>156</v>
      </c>
      <c r="C229" s="71" t="s">
        <v>127</v>
      </c>
      <c r="D229" s="23"/>
      <c r="E229" s="71" t="s">
        <v>105</v>
      </c>
      <c r="F229" s="6" t="s">
        <v>12</v>
      </c>
      <c r="G229" s="34">
        <f aca="true" t="shared" si="64" ref="G229:L229">G230+G231+G232</f>
        <v>68455008.13</v>
      </c>
      <c r="H229" s="34">
        <f>H230+H231+H232</f>
        <v>13390422.13</v>
      </c>
      <c r="I229" s="34">
        <f>I230+I231+I232</f>
        <v>13650871</v>
      </c>
      <c r="J229" s="34">
        <f>J230+J231+J232</f>
        <v>13650871</v>
      </c>
      <c r="K229" s="34">
        <f t="shared" si="64"/>
        <v>13881422</v>
      </c>
      <c r="L229" s="34">
        <f t="shared" si="64"/>
        <v>13881422</v>
      </c>
      <c r="M229" s="44"/>
    </row>
    <row r="230" spans="1:13" ht="21.75" customHeight="1">
      <c r="A230" s="66"/>
      <c r="B230" s="69"/>
      <c r="C230" s="72"/>
      <c r="D230" s="24"/>
      <c r="E230" s="72"/>
      <c r="F230" s="6" t="s">
        <v>13</v>
      </c>
      <c r="G230" s="34">
        <f>H230+I230+J230+K230+L230</f>
        <v>68455008.13</v>
      </c>
      <c r="H230" s="34">
        <f aca="true" t="shared" si="65" ref="H230:L232">H234</f>
        <v>13390422.13</v>
      </c>
      <c r="I230" s="34">
        <f t="shared" si="65"/>
        <v>13650871</v>
      </c>
      <c r="J230" s="34">
        <f t="shared" si="65"/>
        <v>13650871</v>
      </c>
      <c r="K230" s="34">
        <f t="shared" si="65"/>
        <v>13881422</v>
      </c>
      <c r="L230" s="34">
        <f t="shared" si="65"/>
        <v>13881422</v>
      </c>
      <c r="M230" s="44"/>
    </row>
    <row r="231" spans="1:13" ht="21.75" customHeight="1">
      <c r="A231" s="66"/>
      <c r="B231" s="69"/>
      <c r="C231" s="72"/>
      <c r="D231" s="24"/>
      <c r="E231" s="72"/>
      <c r="F231" s="6" t="s">
        <v>14</v>
      </c>
      <c r="G231" s="34">
        <f>H231+I231+J231+K231+L231</f>
        <v>0</v>
      </c>
      <c r="H231" s="34">
        <f t="shared" si="65"/>
        <v>0</v>
      </c>
      <c r="I231" s="34">
        <f t="shared" si="65"/>
        <v>0</v>
      </c>
      <c r="J231" s="34">
        <f t="shared" si="65"/>
        <v>0</v>
      </c>
      <c r="K231" s="34">
        <f t="shared" si="65"/>
        <v>0</v>
      </c>
      <c r="L231" s="34">
        <f t="shared" si="65"/>
        <v>0</v>
      </c>
      <c r="M231" s="44"/>
    </row>
    <row r="232" spans="1:13" ht="21.75" customHeight="1">
      <c r="A232" s="67"/>
      <c r="B232" s="70"/>
      <c r="C232" s="73"/>
      <c r="D232" s="25"/>
      <c r="E232" s="73"/>
      <c r="F232" s="6" t="s">
        <v>15</v>
      </c>
      <c r="G232" s="34">
        <f>H232+I232+J232+K232+L232</f>
        <v>0</v>
      </c>
      <c r="H232" s="34">
        <f t="shared" si="65"/>
        <v>0</v>
      </c>
      <c r="I232" s="34">
        <f t="shared" si="65"/>
        <v>0</v>
      </c>
      <c r="J232" s="34">
        <f t="shared" si="65"/>
        <v>0</v>
      </c>
      <c r="K232" s="34">
        <f t="shared" si="65"/>
        <v>0</v>
      </c>
      <c r="L232" s="34">
        <f t="shared" si="65"/>
        <v>0</v>
      </c>
      <c r="M232" s="44"/>
    </row>
    <row r="233" spans="1:13" ht="21.75" customHeight="1">
      <c r="A233" s="47" t="s">
        <v>74</v>
      </c>
      <c r="B233" s="112" t="s">
        <v>79</v>
      </c>
      <c r="C233" s="50" t="s">
        <v>127</v>
      </c>
      <c r="D233" s="50" t="s">
        <v>145</v>
      </c>
      <c r="E233" s="50" t="s">
        <v>105</v>
      </c>
      <c r="F233" s="20" t="s">
        <v>12</v>
      </c>
      <c r="G233" s="38">
        <f aca="true" t="shared" si="66" ref="G233:L233">G234+G235+G236</f>
        <v>68455008.13</v>
      </c>
      <c r="H233" s="38">
        <f>H234+H235+H236</f>
        <v>13390422.13</v>
      </c>
      <c r="I233" s="38">
        <f>I234+I235+I236</f>
        <v>13650871</v>
      </c>
      <c r="J233" s="38">
        <f>J234+J235+J236</f>
        <v>13650871</v>
      </c>
      <c r="K233" s="38">
        <f t="shared" si="66"/>
        <v>13881422</v>
      </c>
      <c r="L233" s="38">
        <f t="shared" si="66"/>
        <v>13881422</v>
      </c>
      <c r="M233" s="110" t="s">
        <v>80</v>
      </c>
    </row>
    <row r="234" spans="1:13" ht="21.75" customHeight="1">
      <c r="A234" s="48"/>
      <c r="B234" s="113"/>
      <c r="C234" s="51"/>
      <c r="D234" s="51"/>
      <c r="E234" s="51"/>
      <c r="F234" s="20" t="s">
        <v>13</v>
      </c>
      <c r="G234" s="38">
        <f>H234+I234+J234+K234+L234</f>
        <v>68455008.13</v>
      </c>
      <c r="H234" s="38">
        <v>13390422.13</v>
      </c>
      <c r="I234" s="38">
        <v>13650871</v>
      </c>
      <c r="J234" s="38">
        <v>13650871</v>
      </c>
      <c r="K234" s="38">
        <f>13370712+510710</f>
        <v>13881422</v>
      </c>
      <c r="L234" s="38">
        <f>13370712+510710</f>
        <v>13881422</v>
      </c>
      <c r="M234" s="111"/>
    </row>
    <row r="235" spans="1:13" ht="21.75" customHeight="1">
      <c r="A235" s="48"/>
      <c r="B235" s="113"/>
      <c r="C235" s="51"/>
      <c r="D235" s="51"/>
      <c r="E235" s="51"/>
      <c r="F235" s="20" t="s">
        <v>14</v>
      </c>
      <c r="G235" s="38">
        <f>H235+I235+J235+K235+L235</f>
        <v>0</v>
      </c>
      <c r="H235" s="38">
        <v>0</v>
      </c>
      <c r="I235" s="38">
        <v>0</v>
      </c>
      <c r="J235" s="38">
        <v>0</v>
      </c>
      <c r="K235" s="38">
        <v>0</v>
      </c>
      <c r="L235" s="38">
        <v>0</v>
      </c>
      <c r="M235" s="111"/>
    </row>
    <row r="236" spans="1:13" ht="21.75" customHeight="1">
      <c r="A236" s="49"/>
      <c r="B236" s="114"/>
      <c r="C236" s="52"/>
      <c r="D236" s="52"/>
      <c r="E236" s="52"/>
      <c r="F236" s="20" t="s">
        <v>15</v>
      </c>
      <c r="G236" s="38">
        <f>H236+I236+J236+K236+L236</f>
        <v>0</v>
      </c>
      <c r="H236" s="38">
        <v>0</v>
      </c>
      <c r="I236" s="38">
        <v>0</v>
      </c>
      <c r="J236" s="38">
        <v>0</v>
      </c>
      <c r="K236" s="38">
        <v>0</v>
      </c>
      <c r="L236" s="38">
        <v>0</v>
      </c>
      <c r="M236" s="111"/>
    </row>
    <row r="237" spans="1:13" ht="21.75" customHeight="1">
      <c r="A237" s="53" t="s">
        <v>75</v>
      </c>
      <c r="B237" s="56" t="s">
        <v>76</v>
      </c>
      <c r="C237" s="57"/>
      <c r="D237" s="57"/>
      <c r="E237" s="58"/>
      <c r="F237" s="19" t="s">
        <v>12</v>
      </c>
      <c r="G237" s="40">
        <f aca="true" t="shared" si="67" ref="G237:L237">G238+G239+G240</f>
        <v>4878080715.465984</v>
      </c>
      <c r="H237" s="40">
        <f t="shared" si="67"/>
        <v>952162460.78</v>
      </c>
      <c r="I237" s="40">
        <f t="shared" si="67"/>
        <v>965208048</v>
      </c>
      <c r="J237" s="40">
        <f t="shared" si="67"/>
        <v>1002107394</v>
      </c>
      <c r="K237" s="40">
        <f t="shared" si="67"/>
        <v>979251406.3429922</v>
      </c>
      <c r="L237" s="40">
        <f t="shared" si="67"/>
        <v>979351406.3429922</v>
      </c>
      <c r="M237" s="44"/>
    </row>
    <row r="238" spans="1:13" ht="21.75" customHeight="1">
      <c r="A238" s="54"/>
      <c r="B238" s="59"/>
      <c r="C238" s="60"/>
      <c r="D238" s="60"/>
      <c r="E238" s="61"/>
      <c r="F238" s="19" t="s">
        <v>13</v>
      </c>
      <c r="G238" s="40">
        <f>H238+I238+J238+K238+L238</f>
        <v>1323065004.8159842</v>
      </c>
      <c r="H238" s="40">
        <f>H230+H198+H174+H138+H10</f>
        <v>257388676.13000003</v>
      </c>
      <c r="I238" s="40">
        <f>I230+I198+I174+I138+I10</f>
        <v>260860348</v>
      </c>
      <c r="J238" s="40">
        <f>J230+J198+J174+J138+J10</f>
        <v>266559394.00000003</v>
      </c>
      <c r="K238" s="40">
        <f>K230+K198+K174+K138+K10</f>
        <v>269078293.3429922</v>
      </c>
      <c r="L238" s="40">
        <f>L230+L198+L174+L138+L10</f>
        <v>269178293.3429922</v>
      </c>
      <c r="M238" s="44"/>
    </row>
    <row r="239" spans="1:13" ht="21.75" customHeight="1">
      <c r="A239" s="54"/>
      <c r="B239" s="59"/>
      <c r="C239" s="60"/>
      <c r="D239" s="60"/>
      <c r="E239" s="61"/>
      <c r="F239" s="19" t="s">
        <v>14</v>
      </c>
      <c r="G239" s="40">
        <f>H239+I239+J239+K239+L239</f>
        <v>3473682176.65</v>
      </c>
      <c r="H239" s="40">
        <f>H231+H175+H139+H11+H199</f>
        <v>674662850.65</v>
      </c>
      <c r="I239" s="40">
        <f>I231+I175+I139+I11+I199</f>
        <v>673670000</v>
      </c>
      <c r="J239" s="40">
        <f>J231+J175+J139+J11+J199</f>
        <v>705003100</v>
      </c>
      <c r="K239" s="40">
        <f>K231+K175+K139+K11+K199</f>
        <v>710173113</v>
      </c>
      <c r="L239" s="40">
        <f>L231+L175+L139+L11+L199</f>
        <v>710173113</v>
      </c>
      <c r="M239" s="44"/>
    </row>
    <row r="240" spans="1:13" ht="21.75" customHeight="1">
      <c r="A240" s="55"/>
      <c r="B240" s="62"/>
      <c r="C240" s="63"/>
      <c r="D240" s="63"/>
      <c r="E240" s="64"/>
      <c r="F240" s="19" t="s">
        <v>15</v>
      </c>
      <c r="G240" s="40">
        <f>H240+I240+J240+K240+L240</f>
        <v>81333534</v>
      </c>
      <c r="H240" s="40">
        <f>H232+H176+H140+H12</f>
        <v>20110934</v>
      </c>
      <c r="I240" s="40">
        <f>I232+I176+I140+I12</f>
        <v>30677700</v>
      </c>
      <c r="J240" s="40">
        <f>J232+J176+J140+J12</f>
        <v>30544900</v>
      </c>
      <c r="K240" s="40">
        <f>K232+K176+K140+K12</f>
        <v>0</v>
      </c>
      <c r="L240" s="40">
        <f>L232+L176+L140+L12</f>
        <v>0</v>
      </c>
      <c r="M240" s="44"/>
    </row>
  </sheetData>
  <sheetProtection/>
  <mergeCells count="309">
    <mergeCell ref="K1:M1"/>
    <mergeCell ref="B2:K2"/>
    <mergeCell ref="B3:K3"/>
    <mergeCell ref="B4:K4"/>
    <mergeCell ref="A6:A7"/>
    <mergeCell ref="B6:B7"/>
    <mergeCell ref="C6:C7"/>
    <mergeCell ref="D6:D7"/>
    <mergeCell ref="E6:E7"/>
    <mergeCell ref="F6:F7"/>
    <mergeCell ref="G6:L6"/>
    <mergeCell ref="M6:M7"/>
    <mergeCell ref="A9:A12"/>
    <mergeCell ref="B9:B12"/>
    <mergeCell ref="C9:C12"/>
    <mergeCell ref="D9:D12"/>
    <mergeCell ref="E9:E12"/>
    <mergeCell ref="M9:M12"/>
    <mergeCell ref="A13:A16"/>
    <mergeCell ref="B13:B16"/>
    <mergeCell ref="C13:C16"/>
    <mergeCell ref="D13:D16"/>
    <mergeCell ref="E13:E16"/>
    <mergeCell ref="M13:M32"/>
    <mergeCell ref="A17:A20"/>
    <mergeCell ref="B17:B20"/>
    <mergeCell ref="C17:C20"/>
    <mergeCell ref="D17:D20"/>
    <mergeCell ref="E17:E20"/>
    <mergeCell ref="A21:A24"/>
    <mergeCell ref="B21:B24"/>
    <mergeCell ref="C21:C24"/>
    <mergeCell ref="D21:D24"/>
    <mergeCell ref="E21:E24"/>
    <mergeCell ref="A25:A28"/>
    <mergeCell ref="B25:B28"/>
    <mergeCell ref="C25:C28"/>
    <mergeCell ref="D25:D28"/>
    <mergeCell ref="E25:E28"/>
    <mergeCell ref="A29:A32"/>
    <mergeCell ref="B29:B32"/>
    <mergeCell ref="C29:C32"/>
    <mergeCell ref="D29:D32"/>
    <mergeCell ref="E29:E32"/>
    <mergeCell ref="A33:A36"/>
    <mergeCell ref="B33:B36"/>
    <mergeCell ref="C33:C36"/>
    <mergeCell ref="D33:D36"/>
    <mergeCell ref="E33:E36"/>
    <mergeCell ref="M33:M72"/>
    <mergeCell ref="A37:A40"/>
    <mergeCell ref="B37:B40"/>
    <mergeCell ref="C37:C40"/>
    <mergeCell ref="D37:D40"/>
    <mergeCell ref="E37:E40"/>
    <mergeCell ref="A41:A44"/>
    <mergeCell ref="B41:B44"/>
    <mergeCell ref="C41:C44"/>
    <mergeCell ref="D41:D44"/>
    <mergeCell ref="E41:E44"/>
    <mergeCell ref="A45:A48"/>
    <mergeCell ref="B45:B48"/>
    <mergeCell ref="C45:C48"/>
    <mergeCell ref="D45:D48"/>
    <mergeCell ref="E45:E48"/>
    <mergeCell ref="A49:A52"/>
    <mergeCell ref="B49:B52"/>
    <mergeCell ref="C49:C52"/>
    <mergeCell ref="D49:D52"/>
    <mergeCell ref="E49:E52"/>
    <mergeCell ref="A53:A56"/>
    <mergeCell ref="B53:B56"/>
    <mergeCell ref="C53:C56"/>
    <mergeCell ref="D53:D56"/>
    <mergeCell ref="E53:E56"/>
    <mergeCell ref="A57:A60"/>
    <mergeCell ref="B57:B60"/>
    <mergeCell ref="C57:C60"/>
    <mergeCell ref="D57:D60"/>
    <mergeCell ref="E57:E60"/>
    <mergeCell ref="A61:A64"/>
    <mergeCell ref="B61:B64"/>
    <mergeCell ref="C61:C64"/>
    <mergeCell ref="D61:D64"/>
    <mergeCell ref="E61:E64"/>
    <mergeCell ref="A65:A68"/>
    <mergeCell ref="B65:B68"/>
    <mergeCell ref="C65:C68"/>
    <mergeCell ref="D65:D68"/>
    <mergeCell ref="E65:E68"/>
    <mergeCell ref="B69:B72"/>
    <mergeCell ref="C69:C72"/>
    <mergeCell ref="D69:D72"/>
    <mergeCell ref="E69:E72"/>
    <mergeCell ref="A73:A76"/>
    <mergeCell ref="B73:B76"/>
    <mergeCell ref="C73:C76"/>
    <mergeCell ref="D73:D76"/>
    <mergeCell ref="E73:E76"/>
    <mergeCell ref="M73:M84"/>
    <mergeCell ref="B77:B80"/>
    <mergeCell ref="C77:C80"/>
    <mergeCell ref="D77:D80"/>
    <mergeCell ref="E77:E80"/>
    <mergeCell ref="A81:A84"/>
    <mergeCell ref="B81:B84"/>
    <mergeCell ref="C81:C84"/>
    <mergeCell ref="D81:D84"/>
    <mergeCell ref="E81:E84"/>
    <mergeCell ref="A85:A88"/>
    <mergeCell ref="B85:B88"/>
    <mergeCell ref="C85:C88"/>
    <mergeCell ref="D85:D88"/>
    <mergeCell ref="E85:E88"/>
    <mergeCell ref="M85:M108"/>
    <mergeCell ref="A89:A92"/>
    <mergeCell ref="B89:B92"/>
    <mergeCell ref="C89:C92"/>
    <mergeCell ref="D89:D92"/>
    <mergeCell ref="E89:E92"/>
    <mergeCell ref="A93:A96"/>
    <mergeCell ref="B93:B96"/>
    <mergeCell ref="C93:C96"/>
    <mergeCell ref="D93:D96"/>
    <mergeCell ref="E93:E96"/>
    <mergeCell ref="B97:B100"/>
    <mergeCell ref="C97:C100"/>
    <mergeCell ref="D97:D100"/>
    <mergeCell ref="E97:E100"/>
    <mergeCell ref="A101:A104"/>
    <mergeCell ref="B101:B104"/>
    <mergeCell ref="C101:C104"/>
    <mergeCell ref="D101:D104"/>
    <mergeCell ref="E101:E104"/>
    <mergeCell ref="A105:A108"/>
    <mergeCell ref="B105:B108"/>
    <mergeCell ref="C105:C108"/>
    <mergeCell ref="D105:D108"/>
    <mergeCell ref="E105:E108"/>
    <mergeCell ref="A109:A112"/>
    <mergeCell ref="B109:B112"/>
    <mergeCell ref="C109:C112"/>
    <mergeCell ref="D109:D112"/>
    <mergeCell ref="E109:E112"/>
    <mergeCell ref="M109:M112"/>
    <mergeCell ref="A113:A116"/>
    <mergeCell ref="B113:B116"/>
    <mergeCell ref="C113:C116"/>
    <mergeCell ref="D113:D116"/>
    <mergeCell ref="E113:E116"/>
    <mergeCell ref="M113:M120"/>
    <mergeCell ref="A117:A120"/>
    <mergeCell ref="B117:B120"/>
    <mergeCell ref="C117:C120"/>
    <mergeCell ref="D117:D120"/>
    <mergeCell ref="E117:E120"/>
    <mergeCell ref="A121:A124"/>
    <mergeCell ref="B121:B124"/>
    <mergeCell ref="C121:C124"/>
    <mergeCell ref="D121:D124"/>
    <mergeCell ref="E121:E124"/>
    <mergeCell ref="M121:M124"/>
    <mergeCell ref="A125:A128"/>
    <mergeCell ref="B125:B128"/>
    <mergeCell ref="C125:C128"/>
    <mergeCell ref="D125:D128"/>
    <mergeCell ref="E125:E128"/>
    <mergeCell ref="M125:M128"/>
    <mergeCell ref="B129:B132"/>
    <mergeCell ref="C129:C132"/>
    <mergeCell ref="D129:D132"/>
    <mergeCell ref="E129:E132"/>
    <mergeCell ref="M129:M132"/>
    <mergeCell ref="A133:A136"/>
    <mergeCell ref="B133:B136"/>
    <mergeCell ref="C133:C136"/>
    <mergeCell ref="D133:D136"/>
    <mergeCell ref="E133:E136"/>
    <mergeCell ref="M133:M136"/>
    <mergeCell ref="A137:A140"/>
    <mergeCell ref="B137:B140"/>
    <mergeCell ref="C137:C140"/>
    <mergeCell ref="D137:D140"/>
    <mergeCell ref="E137:E140"/>
    <mergeCell ref="M137:M140"/>
    <mergeCell ref="Y140:Y152"/>
    <mergeCell ref="A141:A144"/>
    <mergeCell ref="B141:B144"/>
    <mergeCell ref="C141:C144"/>
    <mergeCell ref="D141:D144"/>
    <mergeCell ref="E141:E144"/>
    <mergeCell ref="M141:M172"/>
    <mergeCell ref="A145:A148"/>
    <mergeCell ref="B145:B148"/>
    <mergeCell ref="C145:C148"/>
    <mergeCell ref="D145:D148"/>
    <mergeCell ref="E145:E148"/>
    <mergeCell ref="A149:A152"/>
    <mergeCell ref="B149:B152"/>
    <mergeCell ref="C149:C152"/>
    <mergeCell ref="D149:D152"/>
    <mergeCell ref="E149:E152"/>
    <mergeCell ref="B153:B156"/>
    <mergeCell ref="C153:C156"/>
    <mergeCell ref="D153:D156"/>
    <mergeCell ref="E153:E156"/>
    <mergeCell ref="A157:A160"/>
    <mergeCell ref="B157:B160"/>
    <mergeCell ref="C157:C160"/>
    <mergeCell ref="D157:D160"/>
    <mergeCell ref="E157:E160"/>
    <mergeCell ref="B161:B164"/>
    <mergeCell ref="C161:C164"/>
    <mergeCell ref="D161:D164"/>
    <mergeCell ref="E161:E164"/>
    <mergeCell ref="A165:A168"/>
    <mergeCell ref="B165:B168"/>
    <mergeCell ref="C165:C168"/>
    <mergeCell ref="D165:D168"/>
    <mergeCell ref="E165:E168"/>
    <mergeCell ref="A169:A172"/>
    <mergeCell ref="B169:B172"/>
    <mergeCell ref="C169:C172"/>
    <mergeCell ref="D169:D172"/>
    <mergeCell ref="E169:E172"/>
    <mergeCell ref="A173:A176"/>
    <mergeCell ref="B173:B176"/>
    <mergeCell ref="C173:C176"/>
    <mergeCell ref="D173:D176"/>
    <mergeCell ref="E173:E176"/>
    <mergeCell ref="M173:M176"/>
    <mergeCell ref="A177:A180"/>
    <mergeCell ref="B177:B180"/>
    <mergeCell ref="C177:C180"/>
    <mergeCell ref="D177:D180"/>
    <mergeCell ref="E177:E180"/>
    <mergeCell ref="M177:M196"/>
    <mergeCell ref="A181:A184"/>
    <mergeCell ref="B181:B184"/>
    <mergeCell ref="C181:C184"/>
    <mergeCell ref="D181:D184"/>
    <mergeCell ref="E181:E184"/>
    <mergeCell ref="A185:A188"/>
    <mergeCell ref="B185:B188"/>
    <mergeCell ref="C185:C188"/>
    <mergeCell ref="D185:D188"/>
    <mergeCell ref="E185:E188"/>
    <mergeCell ref="B189:B192"/>
    <mergeCell ref="C189:C192"/>
    <mergeCell ref="D189:D192"/>
    <mergeCell ref="E189:E192"/>
    <mergeCell ref="A193:A196"/>
    <mergeCell ref="B193:B196"/>
    <mergeCell ref="C193:C196"/>
    <mergeCell ref="D193:D196"/>
    <mergeCell ref="E193:E196"/>
    <mergeCell ref="A197:A200"/>
    <mergeCell ref="B197:B200"/>
    <mergeCell ref="C197:C200"/>
    <mergeCell ref="D197:D200"/>
    <mergeCell ref="E197:E200"/>
    <mergeCell ref="M197:M200"/>
    <mergeCell ref="A201:A204"/>
    <mergeCell ref="B201:B204"/>
    <mergeCell ref="C201:C204"/>
    <mergeCell ref="D201:D204"/>
    <mergeCell ref="E201:E204"/>
    <mergeCell ref="M201:M228"/>
    <mergeCell ref="A205:A208"/>
    <mergeCell ref="B205:B208"/>
    <mergeCell ref="C205:C208"/>
    <mergeCell ref="D205:D208"/>
    <mergeCell ref="E217:E220"/>
    <mergeCell ref="E205:E208"/>
    <mergeCell ref="A209:A212"/>
    <mergeCell ref="B209:B212"/>
    <mergeCell ref="C209:C212"/>
    <mergeCell ref="D209:D212"/>
    <mergeCell ref="E209:E212"/>
    <mergeCell ref="E225:E228"/>
    <mergeCell ref="A213:A216"/>
    <mergeCell ref="B213:B216"/>
    <mergeCell ref="C213:C216"/>
    <mergeCell ref="D213:D216"/>
    <mergeCell ref="E213:E216"/>
    <mergeCell ref="A217:A220"/>
    <mergeCell ref="B217:B220"/>
    <mergeCell ref="C217:C220"/>
    <mergeCell ref="D217:D220"/>
    <mergeCell ref="D233:D236"/>
    <mergeCell ref="E233:E236"/>
    <mergeCell ref="A221:A224"/>
    <mergeCell ref="B221:B224"/>
    <mergeCell ref="C221:C224"/>
    <mergeCell ref="D221:D224"/>
    <mergeCell ref="E221:E224"/>
    <mergeCell ref="B225:B228"/>
    <mergeCell ref="C225:C228"/>
    <mergeCell ref="D225:D228"/>
    <mergeCell ref="M233:M236"/>
    <mergeCell ref="A237:A240"/>
    <mergeCell ref="B237:E240"/>
    <mergeCell ref="A229:A232"/>
    <mergeCell ref="B229:B232"/>
    <mergeCell ref="C229:C232"/>
    <mergeCell ref="E229:E232"/>
    <mergeCell ref="A233:A236"/>
    <mergeCell ref="B233:B236"/>
    <mergeCell ref="C233:C236"/>
  </mergeCells>
  <printOptions/>
  <pageMargins left="0.7086614173228347" right="0.31496062992125984" top="0.35433070866141736" bottom="0.35433070866141736" header="0.31496062992125984" footer="0.31496062992125984"/>
  <pageSetup fitToHeight="4" horizontalDpi="600" verticalDpi="600" orientation="landscape" paperSize="9" scale="39" r:id="rId3"/>
  <rowBreaks count="3" manualBreakCount="3">
    <brk id="60" max="23" man="1"/>
    <brk id="124" max="23" man="1"/>
    <brk id="188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obpm2</cp:lastModifiedBy>
  <cp:lastPrinted>2020-10-20T07:36:02Z</cp:lastPrinted>
  <dcterms:created xsi:type="dcterms:W3CDTF">2016-12-27T10:55:56Z</dcterms:created>
  <dcterms:modified xsi:type="dcterms:W3CDTF">2020-10-23T10:21:27Z</dcterms:modified>
  <cp:category/>
  <cp:version/>
  <cp:contentType/>
  <cp:contentStatus/>
</cp:coreProperties>
</file>