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860" windowHeight="10230" tabRatio="451" firstSheet="16" activeTab="16"/>
  </bookViews>
  <sheets>
    <sheet name="СводныйРасчет(безТрНалога)" sheetId="1" state="hidden" r:id="rId1"/>
    <sheet name="ТанспортныйНалог" sheetId="2" state="hidden" r:id="rId2"/>
    <sheet name="ТранспНалогМО" sheetId="3" state="hidden" r:id="rId3"/>
    <sheet name="ДифНорматив" sheetId="4" state="hidden" r:id="rId4"/>
    <sheet name="СодержаниеПосел" sheetId="5" state="hidden" r:id="rId5"/>
    <sheet name="СодержаниеМежп" sheetId="6" state="hidden" r:id="rId6"/>
    <sheet name="МостыТрубопереходы" sheetId="7" state="hidden" r:id="rId7"/>
    <sheet name="Мосты" sheetId="8" state="hidden" r:id="rId8"/>
    <sheet name="Зимники" sheetId="9" state="hidden" r:id="rId9"/>
    <sheet name="Ремонт" sheetId="10" state="hidden" r:id="rId10"/>
    <sheet name="РасчетРайону" sheetId="11" state="hidden" r:id="rId11"/>
    <sheet name="Лист1" sheetId="12" state="hidden" r:id="rId12"/>
    <sheet name="Лойга" sheetId="13" state="hidden" r:id="rId13"/>
    <sheet name="ИнфаПосел" sheetId="14" state="hidden" r:id="rId14"/>
    <sheet name="Лойга+Илеза" sheetId="15" state="hidden" r:id="rId15"/>
    <sheet name="Лист2" sheetId="16" state="hidden" r:id="rId16"/>
    <sheet name="Дороги  (3)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зимники">'РасчетРайону'!$G$13</definedName>
    <definedName name="_xlnm.Print_Area" localSheetId="3">'ДифНорматив'!$A$1:$N$84</definedName>
    <definedName name="_xlnm.Print_Area" localSheetId="8">'Зимники'!$A$1:$M$11</definedName>
    <definedName name="_xlnm.Print_Area" localSheetId="13">'ИнфаПосел'!$A$1:$N$80</definedName>
    <definedName name="_xlnm.Print_Area" localSheetId="12">'Лойга'!$A$1:$G$45</definedName>
    <definedName name="_xlnm.Print_Area" localSheetId="7">'Мосты'!$A$1:$K$9</definedName>
    <definedName name="_xlnm.Print_Area" localSheetId="6">'МостыТрубопереходы'!$A$1:$L$15</definedName>
    <definedName name="_xlnm.Print_Area" localSheetId="10">'РасчетРайону'!$A$1:$F$44</definedName>
    <definedName name="_xlnm.Print_Area" localSheetId="9">'Ремонт'!$A$1:$J$23</definedName>
    <definedName name="_xlnm.Print_Area" localSheetId="0">'СводныйРасчет(безТрНалога)'!$A$1:$I$25</definedName>
    <definedName name="_xlnm.Print_Area" localSheetId="5">'СодержаниеМежп'!$A$1:$F$26</definedName>
    <definedName name="_xlnm.Print_Area" localSheetId="1">'ТанспортныйНалог'!$A$1:$D$26</definedName>
    <definedName name="_xlnm.Print_Area" localSheetId="2">'ТранспНалогМО'!$A$1:$D$26</definedName>
    <definedName name="посел" localSheetId="4">'СодержаниеПосел'!$L$18</definedName>
    <definedName name="ппп" localSheetId="4">'СодержаниеПосел'!$L$18</definedName>
    <definedName name="см._расчет_зимники" localSheetId="8">'РасчетРайону'!$G$13</definedName>
  </definedNames>
  <calcPr fullCalcOnLoad="1"/>
</workbook>
</file>

<file path=xl/sharedStrings.xml><?xml version="1.0" encoding="utf-8"?>
<sst xmlns="http://schemas.openxmlformats.org/spreadsheetml/2006/main" count="648" uniqueCount="251">
  <si>
    <t>дороги</t>
  </si>
  <si>
    <t>Сумма</t>
  </si>
  <si>
    <t>Наименование муниципального образования</t>
  </si>
  <si>
    <t>МО "Березницкое"</t>
  </si>
  <si>
    <t>МО "Бестужевское"</t>
  </si>
  <si>
    <t>МО "Дмитриевское"</t>
  </si>
  <si>
    <t>МО "Илезское"</t>
  </si>
  <si>
    <t>МО "Киземское"</t>
  </si>
  <si>
    <t>МО "Лихачевское"</t>
  </si>
  <si>
    <t>МО "Лойгинское"</t>
  </si>
  <si>
    <t>МО "Малодорское"</t>
  </si>
  <si>
    <t>МО "Октябрьское"</t>
  </si>
  <si>
    <t>МО "Орловское"</t>
  </si>
  <si>
    <t>МО "Плосское"</t>
  </si>
  <si>
    <t>МО "Синицкое"</t>
  </si>
  <si>
    <t>МО "Строевское"</t>
  </si>
  <si>
    <t>МО "Череновское"</t>
  </si>
  <si>
    <t>МО "Шангальское"</t>
  </si>
  <si>
    <t>№№
 п\п</t>
  </si>
  <si>
    <t>Поселенческие</t>
  </si>
  <si>
    <t>Межпоселенческие</t>
  </si>
  <si>
    <t>Всего район</t>
  </si>
  <si>
    <t>в том числе по покрытиям :</t>
  </si>
  <si>
    <t>асф</t>
  </si>
  <si>
    <t>гравий</t>
  </si>
  <si>
    <t>грунт</t>
  </si>
  <si>
    <t>МО "Ростовско - Минское"</t>
  </si>
  <si>
    <t>итого:</t>
  </si>
  <si>
    <t>придомовые</t>
  </si>
  <si>
    <t>ремонт</t>
  </si>
  <si>
    <t>содержание</t>
  </si>
  <si>
    <t>дорога, мост</t>
  </si>
  <si>
    <t>2014год</t>
  </si>
  <si>
    <t>2013 год</t>
  </si>
  <si>
    <t>отклонение</t>
  </si>
  <si>
    <t>район</t>
  </si>
  <si>
    <t>поселения</t>
  </si>
  <si>
    <t>в т.ч. Содержание</t>
  </si>
  <si>
    <t>мосты</t>
  </si>
  <si>
    <t>остаток</t>
  </si>
  <si>
    <t>2013год всего</t>
  </si>
  <si>
    <t>Диференцированный норматив (поселения)</t>
  </si>
  <si>
    <t>Диференцированный норматив (район)</t>
  </si>
  <si>
    <t>Диференцированный норматив (Всего)</t>
  </si>
  <si>
    <t>Акцизы</t>
  </si>
  <si>
    <t>Трансп.нал.</t>
  </si>
  <si>
    <t>Район</t>
  </si>
  <si>
    <t>Диф.норматив</t>
  </si>
  <si>
    <t>Мосты</t>
  </si>
  <si>
    <t>Зимники</t>
  </si>
  <si>
    <t>БДД</t>
  </si>
  <si>
    <t>коэф.</t>
  </si>
  <si>
    <t>сумм</t>
  </si>
  <si>
    <t>в т.ч по покрытиям :</t>
  </si>
  <si>
    <t>диф.норматив</t>
  </si>
  <si>
    <t>№п/п</t>
  </si>
  <si>
    <t>Муниципальное  образование</t>
  </si>
  <si>
    <t>Полное наименование объекта</t>
  </si>
  <si>
    <t>Владелец объекта</t>
  </si>
  <si>
    <t>Нач км</t>
  </si>
  <si>
    <t>Конеч км</t>
  </si>
  <si>
    <t>Наим типа объекта</t>
  </si>
  <si>
    <t>Длина разрушения (или 2х смежных пролетов) (м)</t>
  </si>
  <si>
    <t>Бюджет поселения</t>
  </si>
  <si>
    <t xml:space="preserve"> КУМИ -               МО "Устьянский муниципальный район" </t>
  </si>
  <si>
    <t>мост</t>
  </si>
  <si>
    <t>Ширина объекта (м)</t>
  </si>
  <si>
    <t>МО Лойгинское</t>
  </si>
  <si>
    <t>Межпоселенческая автодорога                                 п.Лойга - п.Кизема</t>
  </si>
  <si>
    <t>дорога</t>
  </si>
  <si>
    <t>предусмотрено</t>
  </si>
  <si>
    <t>Средства дорожного фонда</t>
  </si>
  <si>
    <t>трубо-переход</t>
  </si>
  <si>
    <t>МО Шангальское</t>
  </si>
  <si>
    <t>Длина объекта (м)/ количество труб</t>
  </si>
  <si>
    <t>Норматив на капитальный ремонт и ремонт 1 м.п. мостового сооружения (укладки трубоперехода), рублей</t>
  </si>
  <si>
    <t>Всего</t>
  </si>
  <si>
    <t>Площадь,                      га</t>
  </si>
  <si>
    <t>Норматив на капитальный ремонт и ремонт 1 км зимней автомобильной дороги, рублей</t>
  </si>
  <si>
    <t>№ п/п</t>
  </si>
  <si>
    <t>Тип объекта</t>
  </si>
  <si>
    <t>Распеделение транспортного налога</t>
  </si>
  <si>
    <t>МО "Устьянский муниципальный район"</t>
  </si>
  <si>
    <t>Расчет дифференцированного норматива, по протяженности автодорог местного значения</t>
  </si>
  <si>
    <t>км</t>
  </si>
  <si>
    <r>
      <t>Расчет</t>
    </r>
    <r>
      <rPr>
        <sz val="14"/>
        <rFont val="Times New Roman"/>
        <family val="1"/>
      </rPr>
      <t xml:space="preserve"> средств дорожного фонда на обеспечение поддержания эксплуатационного состояния </t>
    </r>
    <r>
      <rPr>
        <b/>
        <sz val="14"/>
        <rFont val="Times New Roman"/>
        <family val="1"/>
      </rPr>
      <t>искусственных сооружений</t>
    </r>
    <r>
      <rPr>
        <sz val="14"/>
        <rFont val="Times New Roman"/>
        <family val="1"/>
      </rPr>
      <t xml:space="preserve"> (мостов, трубопереходов) на автомобильных дорогах общего пользования местного значения вне границ населенных пунктов в границах муниципального района</t>
    </r>
  </si>
  <si>
    <t>Средства дорожного фонда, рублей</t>
  </si>
  <si>
    <r>
      <t>Расчет</t>
    </r>
    <r>
      <rPr>
        <sz val="14"/>
        <rFont val="Times New Roman"/>
        <family val="1"/>
      </rPr>
      <t xml:space="preserve"> средств дорожного фонда на капитальный ремонт и </t>
    </r>
    <r>
      <rPr>
        <b/>
        <sz val="14"/>
        <rFont val="Times New Roman"/>
        <family val="1"/>
      </rPr>
      <t>ремонт автомобильных дорог</t>
    </r>
    <r>
      <rPr>
        <sz val="14"/>
        <rFont val="Times New Roman"/>
        <family val="1"/>
      </rPr>
      <t xml:space="preserve"> общего пользования местного значения вне границ населенных пунктов в границах муниципального района, включая разработку проектной документации</t>
    </r>
  </si>
  <si>
    <r>
      <t>Расчет субсидий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 софинансирование дорожной деятельности</t>
    </r>
    <r>
      <rPr>
        <sz val="12"/>
        <rFont val="Times New Roman"/>
        <family val="1"/>
      </rPr>
      <t xml:space="preserve"> в отношении автомобильных дорог общего пользования местного значения в границах населенных пунктов поселений,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поселений, входящих в состав муниципального образования «Устьянский муниципальный район»</t>
    </r>
  </si>
  <si>
    <r>
      <t>Расчет</t>
    </r>
    <r>
      <rPr>
        <sz val="14"/>
        <rFont val="Times New Roman"/>
        <family val="1"/>
      </rPr>
      <t xml:space="preserve"> средств дорожного фонда </t>
    </r>
    <r>
      <rPr>
        <b/>
        <sz val="14"/>
        <rFont val="Times New Roman"/>
        <family val="1"/>
      </rPr>
      <t>на содержание</t>
    </r>
    <r>
      <rPr>
        <sz val="14"/>
        <rFont val="Times New Roman"/>
        <family val="1"/>
      </rPr>
      <t>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</t>
    </r>
  </si>
  <si>
    <t>в том числе</t>
  </si>
  <si>
    <t>Обеспечение поддержания эксплуатационного состояния автомобильных дорог общего пользования местного значения и искусственных сооружений на них, рублей</t>
  </si>
  <si>
    <t>Обеспечение поддержания эксплуатационного состояния искусственных сооружений, рублей</t>
  </si>
  <si>
    <t>ИТОГО</t>
  </si>
  <si>
    <t>№
 п\п</t>
  </si>
  <si>
    <t>Расчет средств дорожного фонда на содержание,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 обеспечивающих межмуниципальное сообщение</t>
  </si>
  <si>
    <t>Протяженность участка дороги подлежащая ремонту (км)</t>
  </si>
  <si>
    <t>Обеспечение безопастности дорожного движения (разработка проектов организании дорожного движения и пр.)</t>
  </si>
  <si>
    <t>МОИлезское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</si>
  <si>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 обеспечивающих межмуниципальное сообщение, рублей</t>
  </si>
  <si>
    <t>Межпоселенческая автодорога                                п. Илеза-Митинская</t>
  </si>
  <si>
    <t>Примечание</t>
  </si>
  <si>
    <t>Собственные доходы бюджетов</t>
  </si>
  <si>
    <t>см. расчет содержание</t>
  </si>
  <si>
    <t>см. расчет ремонт</t>
  </si>
  <si>
    <t>Субсидии бюджетам МО</t>
  </si>
  <si>
    <t>Расчет субсидий на софинансирование дорожной деятельности в отношении автомобильных дорог общего пользования местного значения в границах населенных пунктов</t>
  </si>
  <si>
    <r>
      <t>Расчет распределение субсидий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 софинансирование дорожной деятельности</t>
    </r>
    <r>
      <rPr>
        <sz val="12"/>
        <rFont val="Times New Roman"/>
        <family val="1"/>
      </rPr>
      <t xml:space="preserve"> в отношении автомобильных дорог общего пользования местного значения в границах населенных пунктов поселений,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поселений, входящих в состав муниципального образования «Устьянский муниципальный район»</t>
    </r>
  </si>
  <si>
    <t>Распределение средств ДФ района</t>
  </si>
  <si>
    <t>Подготовка разрешительной документации, капитальный ремонт, ремонт и реконструкция автомобильных дорог, рублей</t>
  </si>
  <si>
    <t>МО "Уст.мун.район"</t>
  </si>
  <si>
    <t>руб</t>
  </si>
  <si>
    <t>Длина объекта (км)</t>
  </si>
  <si>
    <t>Поселения (Октябрьское)</t>
  </si>
  <si>
    <t>пер</t>
  </si>
  <si>
    <t>гр</t>
  </si>
  <si>
    <t>СодержаниеМежп</t>
  </si>
  <si>
    <t>СодержаниеПос</t>
  </si>
  <si>
    <t>Ремонт автодорог(межп)</t>
  </si>
  <si>
    <t>2015год</t>
  </si>
  <si>
    <t>2016 год</t>
  </si>
  <si>
    <t>диф.протяженность дорог,км</t>
  </si>
  <si>
    <t>норматив 2015</t>
  </si>
  <si>
    <t>норматив 2016</t>
  </si>
  <si>
    <t>2016 к 2015 в %</t>
  </si>
  <si>
    <t>40/0</t>
  </si>
  <si>
    <t>Мост ч/з реку "Кизема" на автодороге Лойга-Кизема</t>
  </si>
  <si>
    <t>см. расчет мосты</t>
  </si>
  <si>
    <t>1.1.</t>
  </si>
  <si>
    <t>в т.ч.</t>
  </si>
  <si>
    <t xml:space="preserve">Реконструкция автодороги Аверкиевская-Малиновка </t>
  </si>
  <si>
    <t>проектирование</t>
  </si>
  <si>
    <t>экспертиза</t>
  </si>
  <si>
    <t>1.2.</t>
  </si>
  <si>
    <t>2.1.</t>
  </si>
  <si>
    <t>Норматив , рублей</t>
  </si>
  <si>
    <t>Строительство автодороги Кононовская-Малиновка</t>
  </si>
  <si>
    <t>экспертиза проекта</t>
  </si>
  <si>
    <t>3.1.</t>
  </si>
  <si>
    <t>3.2.</t>
  </si>
  <si>
    <t>Содержание, капитальный ремонт, ремонт и обустройство автодорог между населенными пунктами, рублей</t>
  </si>
  <si>
    <t>Содержание, капитальный ремонт, ремонт и обустройство автодорог в населенных пунктах, рублей</t>
  </si>
  <si>
    <t>2014 год</t>
  </si>
  <si>
    <t>Содержание</t>
  </si>
  <si>
    <t>Ремонт</t>
  </si>
  <si>
    <t>Доп.работы</t>
  </si>
  <si>
    <t>план</t>
  </si>
  <si>
    <t>факт</t>
  </si>
  <si>
    <t>финансирование</t>
  </si>
  <si>
    <t>превыш.лимитов</t>
  </si>
  <si>
    <t>недофинансирование</t>
  </si>
  <si>
    <t>требуется в 2015 году</t>
  </si>
  <si>
    <t>выделено</t>
  </si>
  <si>
    <t>в т.ч. по соглаш</t>
  </si>
  <si>
    <t>доп.</t>
  </si>
  <si>
    <t>за счет лимитов 2015 года</t>
  </si>
  <si>
    <t>остаток на мост</t>
  </si>
  <si>
    <t>требуется</t>
  </si>
  <si>
    <t>уточнение ноябрь</t>
  </si>
  <si>
    <t>остатки на счетах март</t>
  </si>
  <si>
    <t>лимит на 2016</t>
  </si>
  <si>
    <t>ВАРИАНТ 1</t>
  </si>
  <si>
    <t>ВАРИАНТ 2</t>
  </si>
  <si>
    <t>ВАРИАНТ 3</t>
  </si>
  <si>
    <t>остаток на зимники</t>
  </si>
  <si>
    <t>лойга</t>
  </si>
  <si>
    <t>илеза</t>
  </si>
  <si>
    <t>4.1.</t>
  </si>
  <si>
    <t>4.2.</t>
  </si>
  <si>
    <t>5.1.</t>
  </si>
  <si>
    <t>см. расчет зимники</t>
  </si>
  <si>
    <t>аверк-мал эспертиза</t>
  </si>
  <si>
    <t>аверк-мал проект</t>
  </si>
  <si>
    <t>конон-мал эспертиза2,215</t>
  </si>
  <si>
    <t>конон-мал эспертиза3,9</t>
  </si>
  <si>
    <t>конон-мал проект3,9</t>
  </si>
  <si>
    <t>Средства дорожного фонда (требуется)</t>
  </si>
  <si>
    <t>Средства дорожного фонда (расчетно)</t>
  </si>
  <si>
    <t>протяженность участка                    (км)</t>
  </si>
  <si>
    <t>Протяженность автомобильных дорог по форме 3ДГ(МО) на 01.01.2015 года</t>
  </si>
  <si>
    <t xml:space="preserve">Расчет протяженности дорог местного значения с учетом корректировки в зависимости от категории дорожного покрытия </t>
  </si>
  <si>
    <t>Наименование МО</t>
  </si>
  <si>
    <t xml:space="preserve">Норматив </t>
  </si>
  <si>
    <r>
      <t xml:space="preserve">Дифференцированные нормативы отчислений от акцизов на автомобильный и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в бюджеты городских поселений, муниципальных районов и городских округов Архангельской области на 2016 год, </t>
    </r>
    <r>
      <rPr>
        <b/>
        <sz val="8"/>
        <rFont val="Times New Roman"/>
        <family val="1"/>
      </rPr>
      <t>%</t>
    </r>
  </si>
  <si>
    <t>Пример расчета по МО "Октябрьское":</t>
  </si>
  <si>
    <t>(Уд.вес дорог местного значения на территории МО (с уч. коррект.) в общей протяженности таких дорог на территории Арх.области,%)</t>
  </si>
  <si>
    <t>10%-Общий норматив отчислений доходов от уплаты акцизов в местные бюджеты, %</t>
  </si>
  <si>
    <t>Удельный вес=54,7км/5268,8км/100%=1,03853%</t>
  </si>
  <si>
    <t>5268,8км-Протяженность дорог местного значения с учетом корректировки в зависимости от категории дорожного покрытия в Архангельской области на 01.01.2015года</t>
  </si>
  <si>
    <t>Итого Район</t>
  </si>
  <si>
    <r>
      <rPr>
        <b/>
        <sz val="8"/>
        <rFont val="Times New Roman"/>
        <family val="1"/>
      </rPr>
      <t>Дифференц.норматив</t>
    </r>
    <r>
      <rPr>
        <sz val="8"/>
        <rFont val="Times New Roman"/>
        <family val="1"/>
      </rPr>
      <t>=Уд.вес*10%/100%=0,103853%</t>
    </r>
  </si>
  <si>
    <t>Акциз районов</t>
  </si>
  <si>
    <t>Пример расчета поступлений акциз в 2016 году по МО "Октябрьское"</t>
  </si>
  <si>
    <t>в т.ч. межпосел.</t>
  </si>
  <si>
    <t>.=0,10385*3 138 972 000,00руб/100%=3 260 000,00руб</t>
  </si>
  <si>
    <t>Информация по ремонту автомобильных дорог местного значения обеспечивающих межмуниципальное сообщение</t>
  </si>
  <si>
    <t>Автодорога "Лойга-Кизема"</t>
  </si>
  <si>
    <t>Наименование работ</t>
  </si>
  <si>
    <t>2015 год</t>
  </si>
  <si>
    <t>Объем финансирования</t>
  </si>
  <si>
    <t>Объем работ</t>
  </si>
  <si>
    <t>Объем финансирования, тыс.руб.</t>
  </si>
  <si>
    <t xml:space="preserve">Вырубка деревьев и кустарника с уборкой порубочных остатков (29,44 га/2649 м.куб.)
</t>
  </si>
  <si>
    <t>Текущее содержание 13,2 км</t>
  </si>
  <si>
    <t>Кредиторская задолженность на конец года</t>
  </si>
  <si>
    <t xml:space="preserve">Устройство водопропускной трубы р.Кипленга (12шт*2,5м.п.(диаметр1,5м), устройство откосных стенок, земляные работы </t>
  </si>
  <si>
    <t xml:space="preserve">Восстановление дренажных канав -25,0км, восстановление профиля грунтовых дорог - 14,4 га, замена отдельных звеньев водопропускных труб 40,0 м.пог.(диаметр 0,5м)
</t>
  </si>
  <si>
    <t>Строительство деревянного мостового перехода через р.Кизема 40 м.п. (сметная стоимость 2285,4 тыс.руб)</t>
  </si>
  <si>
    <t>Восстановление профиля грунтовых дорог с добавлением гравийных материалов (1км)</t>
  </si>
  <si>
    <t>1 км</t>
  </si>
  <si>
    <t>Устройство трубоперехода</t>
  </si>
  <si>
    <t>Строительство моста р.Кизема</t>
  </si>
  <si>
    <t>Объем финансирования, тыс.руб.*</t>
  </si>
  <si>
    <r>
      <t>Примечание * объем финансирования в 2015 году=1610,0+67,7+517,9+241,1+300=</t>
    </r>
    <r>
      <rPr>
        <b/>
        <sz val="12"/>
        <rFont val="Times New Roman"/>
        <family val="1"/>
      </rPr>
      <t>2736,7</t>
    </r>
  </si>
  <si>
    <t>4,0км/                  2,4 га/                     0м.пог.</t>
  </si>
  <si>
    <t>20,0км/                             12 га/                     40м.пог.</t>
  </si>
  <si>
    <t>19,6 га/                        1760 м.куб.</t>
  </si>
  <si>
    <t>9,84 га/               889 м.куб.</t>
  </si>
  <si>
    <t>Автодорога "Илеза-Митинская"</t>
  </si>
  <si>
    <t xml:space="preserve">Авансовый платеж </t>
  </si>
  <si>
    <t>12км/                       15м.пог.</t>
  </si>
  <si>
    <t xml:space="preserve">Восстановление дренажных канав -20,0км, замена отдельных звеньев водопропускных труб 31 м.пог. (диаметр 0,5м)
</t>
  </si>
  <si>
    <t>8км/     16м.пог.</t>
  </si>
  <si>
    <t>1км</t>
  </si>
  <si>
    <t xml:space="preserve">Восстановление профиля грунтовых дорог с добавлением гравийных материалов </t>
  </si>
  <si>
    <t>2км</t>
  </si>
  <si>
    <t>1,0км/                         12 га/                      0м.пог.</t>
  </si>
  <si>
    <t xml:space="preserve">Распределение средств дорожного фонда на 2016 год </t>
  </si>
  <si>
    <t>Текущее содержание --- км</t>
  </si>
  <si>
    <t>Общая протяж.дорог</t>
  </si>
  <si>
    <t>Приведенные дороги</t>
  </si>
  <si>
    <t>Субсидии из бюджета МР в бюджет МО-поселений</t>
  </si>
  <si>
    <t>Мун.дорожный фонд МР в 2016 году составит</t>
  </si>
  <si>
    <t>Всего АО</t>
  </si>
  <si>
    <t>Диф.норматив (%)</t>
  </si>
  <si>
    <t>Сумма налога (акциз)</t>
  </si>
  <si>
    <r>
      <rPr>
        <b/>
        <u val="single"/>
        <sz val="12"/>
        <rFont val="Times New Roman"/>
        <family val="1"/>
      </rPr>
      <t>Дифференцированный норматив</t>
    </r>
    <r>
      <rPr>
        <sz val="12"/>
        <rFont val="Times New Roman"/>
        <family val="1"/>
      </rPr>
      <t xml:space="preserve"> (по протяженности автодорог местного значения и типу покрытия:                     асф.=1; перех.покрытие=0,6462; грунтовые=0,2866)</t>
    </r>
  </si>
  <si>
    <t>Объем средств по передаваемым полномочиям</t>
  </si>
  <si>
    <t xml:space="preserve">ИТОГО </t>
  </si>
  <si>
    <t>МО "Илезское</t>
  </si>
  <si>
    <r>
      <t xml:space="preserve">На содержание,  ремонт и обустройство автомобильных дорог общего пользования местного значения </t>
    </r>
    <r>
      <rPr>
        <b/>
        <sz val="10"/>
        <rFont val="Arial Cyr"/>
        <family val="0"/>
      </rPr>
      <t>вне границ населенных пунктов</t>
    </r>
    <r>
      <rPr>
        <sz val="10"/>
        <rFont val="Arial Cyr"/>
        <family val="0"/>
      </rPr>
      <t xml:space="preserve"> в границах муниципального района, включая обеспечение безопасности дорожного движения на них</t>
    </r>
  </si>
  <si>
    <r>
      <t>На содержание, ремонт и обустройство автомобильных общего пользования местного значения</t>
    </r>
    <r>
      <rPr>
        <b/>
        <sz val="10"/>
        <rFont val="Arial Cyr"/>
        <family val="0"/>
      </rPr>
      <t xml:space="preserve"> в границах населенных пунктов</t>
    </r>
    <r>
      <rPr>
        <sz val="10"/>
        <rFont val="Arial Cyr"/>
        <family val="0"/>
      </rPr>
      <t>, включая обеспечение безопасности дорожного движения на них</t>
    </r>
  </si>
  <si>
    <t>Приложение №14</t>
  </si>
  <si>
    <t>Распределение иных  межбюджетных трансфертов бюджетам муниципальных образований - поселений по передаваевым полномочиям по дорожной деятельности МО "Устьянский муниципальный район" на 2021год</t>
  </si>
  <si>
    <t>Гашение кредиторской задложенности прошлых лет, связанной с финансовым обеспечением дорожной деятельности вне границ населенных пунктов в границах муниципального района, включая обеспечение безопасности дорожного движения на них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</si>
  <si>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на 01.01.2016г.</t>
  </si>
  <si>
    <t>Гашение кредиторской задложенности прошлых лет, связанной с финансовым обеспечением дорожной деятельности в границах населенных пунктов в границах муниципального района, включая обеспечение безопасности дорожного движения на них</t>
  </si>
  <si>
    <t>Приложение №8</t>
  </si>
  <si>
    <t>к решению сессии шестого созыва Собрания депутатов №298 от 23   декабря 2020 года</t>
  </si>
  <si>
    <t>к решению сессии шестого созыва Собрания депутатов №314 от 19 февраля 2021 года</t>
  </si>
  <si>
    <t>к решению сессии шестого созыва Собрания депутатов №348 от 25 июня 2021 года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</si>
</sst>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#,##0.0"/>
    <numFmt numFmtId="175" formatCode="0.0"/>
    <numFmt numFmtId="176" formatCode="0.000%"/>
    <numFmt numFmtId="177" formatCode="0.00000"/>
    <numFmt numFmtId="178" formatCode="0.00000%"/>
    <numFmt numFmtId="179" formatCode="#,##0.00&quot;р.&quot;"/>
    <numFmt numFmtId="180" formatCode="#,##0.0000&quot;р.&quot;"/>
    <numFmt numFmtId="181" formatCode="#,##0&quot;р.&quot;"/>
    <numFmt numFmtId="182" formatCode="#,##0.0&quot;р.&quot;"/>
    <numFmt numFmtId="183" formatCode="#,##0.000000"/>
    <numFmt numFmtId="184" formatCode="#,##0.00000000"/>
    <numFmt numFmtId="185" formatCode="0.000000%"/>
    <numFmt numFmtId="186" formatCode="#,##0.00_р_."/>
    <numFmt numFmtId="187" formatCode="0.00000000000000000000000000000%"/>
    <numFmt numFmtId="188" formatCode="#,##0.000&quot;р.&quot;"/>
    <numFmt numFmtId="189" formatCode="0.0%"/>
    <numFmt numFmtId="190" formatCode="#,##0.000"/>
    <numFmt numFmtId="191" formatCode="#,##0.0000"/>
    <numFmt numFmtId="192" formatCode="#,##0.00000"/>
    <numFmt numFmtId="193" formatCode="#,##0.0000000"/>
    <numFmt numFmtId="194" formatCode="#,##0.0_р_."/>
    <numFmt numFmtId="195" formatCode="0.000000000"/>
    <numFmt numFmtId="196" formatCode="0.00000000"/>
    <numFmt numFmtId="197" formatCode="0.0000000"/>
    <numFmt numFmtId="198" formatCode="0.00000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0000&quot;р.&quot;"/>
    <numFmt numFmtId="204" formatCode="#,##0.000000&quot;р.&quot;"/>
    <numFmt numFmtId="205" formatCode="#,##0.0000000&quot;р.&quot;"/>
    <numFmt numFmtId="206" formatCode="#,##0.00000000&quot;р.&quot;"/>
    <numFmt numFmtId="207" formatCode="#,##0.000000000&quot;р.&quot;"/>
    <numFmt numFmtId="208" formatCode="0.0000000000"/>
    <numFmt numFmtId="209" formatCode="0.00000000000"/>
    <numFmt numFmtId="210" formatCode="0.000000000000"/>
    <numFmt numFmtId="211" formatCode="0.0000000000000"/>
    <numFmt numFmtId="212" formatCode="0.00000000000000"/>
    <numFmt numFmtId="213" formatCode="#,##0.00_ ;[Red]\-#,##0.00\ "/>
    <numFmt numFmtId="214" formatCode="_-* #,##0.0_р_._-;\-* #,##0.0_р_._-;_-* &quot;-&quot;?_р_._-;_-@_-"/>
    <numFmt numFmtId="215" formatCode="_-* #,##0.0_р_._-;\-* #,##0.0_р_._-;_-* &quot;-&quot;??_р_._-;_-@_-"/>
  </numFmts>
  <fonts count="72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i/>
      <u val="single"/>
      <sz val="14"/>
      <name val="Arial Cyr"/>
      <family val="0"/>
    </font>
    <font>
      <b/>
      <sz val="14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1"/>
      <name val="Arial Cyr"/>
      <family val="0"/>
    </font>
    <font>
      <sz val="1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4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7"/>
      <name val="Times New Roman"/>
      <family val="1"/>
    </font>
    <font>
      <sz val="6"/>
      <name val="Times New Roman"/>
      <family val="1"/>
    </font>
    <font>
      <b/>
      <sz val="13"/>
      <name val="Times New Roman"/>
      <family val="1"/>
    </font>
    <font>
      <b/>
      <sz val="12"/>
      <name val="Arial Cyr"/>
      <family val="0"/>
    </font>
    <font>
      <b/>
      <u val="single"/>
      <sz val="12"/>
      <name val="Arial Cyr"/>
      <family val="0"/>
    </font>
    <font>
      <b/>
      <u val="single"/>
      <sz val="12"/>
      <name val="Times New Roman"/>
      <family val="1"/>
    </font>
    <font>
      <sz val="72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Times New Roman"/>
      <family val="1"/>
    </font>
    <font>
      <sz val="10"/>
      <color indexed="10"/>
      <name val="Arial Cyr"/>
      <family val="0"/>
    </font>
    <font>
      <b/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632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179" fontId="3" fillId="0" borderId="0" xfId="0" applyNumberFormat="1" applyFont="1" applyFill="1" applyBorder="1" applyAlignment="1" applyProtection="1">
      <alignment vertical="top"/>
      <protection/>
    </xf>
    <xf numFmtId="180" fontId="3" fillId="0" borderId="0" xfId="0" applyNumberFormat="1" applyFont="1" applyFill="1" applyBorder="1" applyAlignment="1" applyProtection="1">
      <alignment vertical="top"/>
      <protection/>
    </xf>
    <xf numFmtId="0" fontId="5" fillId="33" borderId="1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172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175" fontId="6" fillId="33" borderId="10" xfId="0" applyNumberFormat="1" applyFont="1" applyFill="1" applyBorder="1" applyAlignment="1">
      <alignment horizontal="center" vertical="center"/>
    </xf>
    <xf numFmtId="175" fontId="5" fillId="0" borderId="10" xfId="0" applyNumberFormat="1" applyFont="1" applyFill="1" applyBorder="1" applyAlignment="1">
      <alignment horizontal="center"/>
    </xf>
    <xf numFmtId="175" fontId="6" fillId="33" borderId="12" xfId="0" applyNumberFormat="1" applyFont="1" applyFill="1" applyBorder="1" applyAlignment="1">
      <alignment horizontal="center" vertical="center"/>
    </xf>
    <xf numFmtId="175" fontId="7" fillId="0" borderId="10" xfId="0" applyNumberFormat="1" applyFont="1" applyFill="1" applyBorder="1" applyAlignment="1">
      <alignment horizontal="center"/>
    </xf>
    <xf numFmtId="175" fontId="5" fillId="33" borderId="13" xfId="0" applyNumberFormat="1" applyFont="1" applyFill="1" applyBorder="1" applyAlignment="1">
      <alignment horizontal="center" vertical="center"/>
    </xf>
    <xf numFmtId="175" fontId="5" fillId="33" borderId="10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 applyProtection="1">
      <alignment vertical="top"/>
      <protection/>
    </xf>
    <xf numFmtId="0" fontId="5" fillId="0" borderId="10" xfId="0" applyFont="1" applyFill="1" applyBorder="1" applyAlignment="1">
      <alignment horizontal="left" vertical="center"/>
    </xf>
    <xf numFmtId="175" fontId="6" fillId="0" borderId="10" xfId="0" applyNumberFormat="1" applyFont="1" applyFill="1" applyBorder="1" applyAlignment="1">
      <alignment horizontal="center" vertical="center"/>
    </xf>
    <xf numFmtId="175" fontId="6" fillId="0" borderId="12" xfId="0" applyNumberFormat="1" applyFont="1" applyFill="1" applyBorder="1" applyAlignment="1">
      <alignment horizontal="center" vertical="center"/>
    </xf>
    <xf numFmtId="175" fontId="5" fillId="0" borderId="13" xfId="0" applyNumberFormat="1" applyFont="1" applyFill="1" applyBorder="1" applyAlignment="1">
      <alignment horizontal="center" vertical="center"/>
    </xf>
    <xf numFmtId="175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5" fontId="6" fillId="33" borderId="1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/>
    </xf>
    <xf numFmtId="0" fontId="5" fillId="35" borderId="10" xfId="0" applyNumberFormat="1" applyFont="1" applyFill="1" applyBorder="1" applyAlignment="1" applyProtection="1">
      <alignment vertical="top"/>
      <protection/>
    </xf>
    <xf numFmtId="2" fontId="5" fillId="0" borderId="10" xfId="0" applyNumberFormat="1" applyFont="1" applyFill="1" applyBorder="1" applyAlignment="1" applyProtection="1">
      <alignment vertical="top"/>
      <protection/>
    </xf>
    <xf numFmtId="172" fontId="5" fillId="35" borderId="10" xfId="0" applyNumberFormat="1" applyFont="1" applyFill="1" applyBorder="1" applyAlignment="1" applyProtection="1">
      <alignment vertical="top"/>
      <protection/>
    </xf>
    <xf numFmtId="173" fontId="6" fillId="34" borderId="10" xfId="0" applyNumberFormat="1" applyFont="1" applyFill="1" applyBorder="1" applyAlignment="1" applyProtection="1">
      <alignment vertical="top"/>
      <protection/>
    </xf>
    <xf numFmtId="0" fontId="5" fillId="0" borderId="10" xfId="0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 applyProtection="1">
      <alignment vertical="top"/>
      <protection/>
    </xf>
    <xf numFmtId="180" fontId="5" fillId="0" borderId="0" xfId="0" applyNumberFormat="1" applyFont="1" applyFill="1" applyBorder="1" applyAlignment="1" applyProtection="1">
      <alignment vertical="top"/>
      <protection/>
    </xf>
    <xf numFmtId="179" fontId="5" fillId="0" borderId="0" xfId="0" applyNumberFormat="1" applyFont="1" applyFill="1" applyBorder="1" applyAlignment="1" applyProtection="1">
      <alignment vertical="top"/>
      <protection/>
    </xf>
    <xf numFmtId="173" fontId="5" fillId="34" borderId="10" xfId="0" applyNumberFormat="1" applyFont="1" applyFill="1" applyBorder="1" applyAlignment="1" applyProtection="1">
      <alignment vertical="top"/>
      <protection/>
    </xf>
    <xf numFmtId="179" fontId="6" fillId="34" borderId="0" xfId="0" applyNumberFormat="1" applyFont="1" applyFill="1" applyBorder="1" applyAlignment="1" applyProtection="1">
      <alignment vertical="top"/>
      <protection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left" vertical="center"/>
    </xf>
    <xf numFmtId="4" fontId="1" fillId="0" borderId="10" xfId="0" applyNumberFormat="1" applyFont="1" applyBorder="1" applyAlignment="1">
      <alignment/>
    </xf>
    <xf numFmtId="0" fontId="5" fillId="0" borderId="13" xfId="0" applyNumberFormat="1" applyFont="1" applyFill="1" applyBorder="1" applyAlignment="1" applyProtection="1">
      <alignment vertical="top"/>
      <protection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167" fontId="5" fillId="0" borderId="0" xfId="0" applyNumberFormat="1" applyFont="1" applyFill="1" applyBorder="1" applyAlignment="1" applyProtection="1">
      <alignment vertical="top"/>
      <protection/>
    </xf>
    <xf numFmtId="4" fontId="1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 applyProtection="1">
      <alignment vertical="top"/>
      <protection/>
    </xf>
    <xf numFmtId="0" fontId="1" fillId="0" borderId="10" xfId="0" applyFont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 applyProtection="1">
      <alignment vertical="top"/>
      <protection/>
    </xf>
    <xf numFmtId="0" fontId="5" fillId="0" borderId="19" xfId="0" applyNumberFormat="1" applyFont="1" applyFill="1" applyBorder="1" applyAlignment="1" applyProtection="1">
      <alignment vertical="top"/>
      <protection/>
    </xf>
    <xf numFmtId="0" fontId="5" fillId="0" borderId="20" xfId="0" applyNumberFormat="1" applyFont="1" applyFill="1" applyBorder="1" applyAlignment="1" applyProtection="1">
      <alignment vertical="top"/>
      <protection/>
    </xf>
    <xf numFmtId="0" fontId="5" fillId="37" borderId="10" xfId="0" applyNumberFormat="1" applyFont="1" applyFill="1" applyBorder="1" applyAlignment="1" applyProtection="1">
      <alignment horizontal="right" vertical="top"/>
      <protection/>
    </xf>
    <xf numFmtId="174" fontId="5" fillId="0" borderId="0" xfId="0" applyNumberFormat="1" applyFont="1" applyFill="1" applyBorder="1" applyAlignment="1" applyProtection="1">
      <alignment vertical="top"/>
      <protection/>
    </xf>
    <xf numFmtId="181" fontId="5" fillId="0" borderId="0" xfId="0" applyNumberFormat="1" applyFont="1" applyFill="1" applyBorder="1" applyAlignment="1" applyProtection="1">
      <alignment vertical="top"/>
      <protection/>
    </xf>
    <xf numFmtId="4" fontId="5" fillId="0" borderId="0" xfId="0" applyNumberFormat="1" applyFont="1" applyFill="1" applyBorder="1" applyAlignment="1" applyProtection="1">
      <alignment vertical="top"/>
      <protection/>
    </xf>
    <xf numFmtId="173" fontId="4" fillId="0" borderId="10" xfId="0" applyNumberFormat="1" applyFont="1" applyFill="1" applyBorder="1" applyAlignment="1" applyProtection="1">
      <alignment vertical="top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5" fillId="34" borderId="1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vertical="top"/>
      <protection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/>
    </xf>
    <xf numFmtId="172" fontId="8" fillId="33" borderId="10" xfId="0" applyNumberFormat="1" applyFont="1" applyFill="1" applyBorder="1" applyAlignment="1">
      <alignment horizontal="center"/>
    </xf>
    <xf numFmtId="175" fontId="10" fillId="33" borderId="10" xfId="0" applyNumberFormat="1" applyFont="1" applyFill="1" applyBorder="1" applyAlignment="1">
      <alignment horizontal="center" vertical="center"/>
    </xf>
    <xf numFmtId="175" fontId="8" fillId="33" borderId="1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9" fontId="11" fillId="0" borderId="10" xfId="0" applyNumberFormat="1" applyFont="1" applyFill="1" applyBorder="1" applyAlignment="1" applyProtection="1">
      <alignment horizontal="center" vertical="top"/>
      <protection/>
    </xf>
    <xf numFmtId="3" fontId="11" fillId="0" borderId="10" xfId="0" applyNumberFormat="1" applyFont="1" applyFill="1" applyBorder="1" applyAlignment="1" applyProtection="1">
      <alignment horizontal="center" vertical="top" wrapText="1"/>
      <protection/>
    </xf>
    <xf numFmtId="3" fontId="11" fillId="0" borderId="10" xfId="0" applyNumberFormat="1" applyFont="1" applyFill="1" applyBorder="1" applyAlignment="1" applyProtection="1">
      <alignment horizontal="center" vertical="top"/>
      <protection/>
    </xf>
    <xf numFmtId="3" fontId="11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172" fontId="5" fillId="34" borderId="10" xfId="0" applyNumberFormat="1" applyFont="1" applyFill="1" applyBorder="1" applyAlignment="1" applyProtection="1">
      <alignment vertical="top"/>
      <protection/>
    </xf>
    <xf numFmtId="3" fontId="11" fillId="0" borderId="21" xfId="0" applyNumberFormat="1" applyFont="1" applyFill="1" applyBorder="1" applyAlignment="1" applyProtection="1">
      <alignment horizontal="center" vertical="top" wrapText="1"/>
      <protection/>
    </xf>
    <xf numFmtId="3" fontId="11" fillId="0" borderId="0" xfId="0" applyNumberFormat="1" applyFont="1" applyFill="1" applyBorder="1" applyAlignment="1" applyProtection="1">
      <alignment horizontal="center" vertical="top" wrapText="1"/>
      <protection/>
    </xf>
    <xf numFmtId="4" fontId="11" fillId="0" borderId="21" xfId="0" applyNumberFormat="1" applyFont="1" applyFill="1" applyBorder="1" applyAlignment="1" applyProtection="1">
      <alignment horizontal="center" vertical="top" wrapText="1"/>
      <protection/>
    </xf>
    <xf numFmtId="4" fontId="11" fillId="0" borderId="0" xfId="0" applyNumberFormat="1" applyFont="1" applyFill="1" applyBorder="1" applyAlignment="1" applyProtection="1">
      <alignment horizontal="center" vertical="top"/>
      <protection/>
    </xf>
    <xf numFmtId="3" fontId="11" fillId="0" borderId="21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2" fontId="11" fillId="0" borderId="10" xfId="0" applyNumberFormat="1" applyFont="1" applyFill="1" applyBorder="1" applyAlignment="1" applyProtection="1">
      <alignment horizontal="center" vertical="center" wrapText="1"/>
      <protection/>
    </xf>
    <xf numFmtId="3" fontId="11" fillId="0" borderId="10" xfId="0" applyNumberFormat="1" applyFont="1" applyFill="1" applyBorder="1" applyAlignment="1" applyProtection="1">
      <alignment horizontal="center" vertical="center" wrapText="1"/>
      <protection/>
    </xf>
    <xf numFmtId="175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179" fontId="5" fillId="33" borderId="0" xfId="0" applyNumberFormat="1" applyFont="1" applyFill="1" applyBorder="1" applyAlignment="1" applyProtection="1">
      <alignment vertical="top"/>
      <protection/>
    </xf>
    <xf numFmtId="10" fontId="5" fillId="33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distributed"/>
      <protection/>
    </xf>
    <xf numFmtId="0" fontId="11" fillId="0" borderId="10" xfId="0" applyNumberFormat="1" applyFont="1" applyFill="1" applyBorder="1" applyAlignment="1" applyProtection="1">
      <alignment horizontal="center" vertical="distributed" wrapText="1"/>
      <protection/>
    </xf>
    <xf numFmtId="0" fontId="11" fillId="0" borderId="10" xfId="0" applyNumberFormat="1" applyFont="1" applyFill="1" applyBorder="1" applyAlignment="1" applyProtection="1">
      <alignment horizontal="center" vertical="distributed"/>
      <protection/>
    </xf>
    <xf numFmtId="0" fontId="0" fillId="0" borderId="10" xfId="0" applyNumberFormat="1" applyFill="1" applyBorder="1" applyAlignment="1" applyProtection="1">
      <alignment horizontal="center" vertical="distributed" wrapText="1"/>
      <protection/>
    </xf>
    <xf numFmtId="0" fontId="0" fillId="0" borderId="10" xfId="0" applyNumberFormat="1" applyFont="1" applyFill="1" applyBorder="1" applyAlignment="1" applyProtection="1">
      <alignment horizontal="center" vertical="distributed" wrapText="1"/>
      <protection/>
    </xf>
    <xf numFmtId="179" fontId="11" fillId="0" borderId="10" xfId="0" applyNumberFormat="1" applyFont="1" applyFill="1" applyBorder="1" applyAlignment="1" applyProtection="1">
      <alignment horizontal="center" vertical="center" wrapText="1"/>
      <protection/>
    </xf>
    <xf numFmtId="179" fontId="11" fillId="0" borderId="10" xfId="0" applyNumberFormat="1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172" fontId="8" fillId="33" borderId="0" xfId="0" applyNumberFormat="1" applyFont="1" applyFill="1" applyBorder="1" applyAlignment="1">
      <alignment horizontal="center"/>
    </xf>
    <xf numFmtId="2" fontId="8" fillId="33" borderId="0" xfId="0" applyNumberFormat="1" applyFont="1" applyFill="1" applyBorder="1" applyAlignment="1">
      <alignment horizontal="center"/>
    </xf>
    <xf numFmtId="10" fontId="8" fillId="33" borderId="0" xfId="0" applyNumberFormat="1" applyFont="1" applyFill="1" applyBorder="1" applyAlignment="1">
      <alignment horizontal="center"/>
    </xf>
    <xf numFmtId="175" fontId="8" fillId="33" borderId="0" xfId="0" applyNumberFormat="1" applyFont="1" applyFill="1" applyBorder="1" applyAlignment="1">
      <alignment horizontal="center" vertical="center"/>
    </xf>
    <xf numFmtId="175" fontId="10" fillId="33" borderId="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distributed"/>
    </xf>
    <xf numFmtId="10" fontId="8" fillId="33" borderId="10" xfId="0" applyNumberFormat="1" applyFont="1" applyFill="1" applyBorder="1" applyAlignment="1">
      <alignment horizontal="center" vertical="center"/>
    </xf>
    <xf numFmtId="10" fontId="10" fillId="33" borderId="10" xfId="0" applyNumberFormat="1" applyFont="1" applyFill="1" applyBorder="1" applyAlignment="1">
      <alignment horizontal="center" vertical="center"/>
    </xf>
    <xf numFmtId="181" fontId="10" fillId="33" borderId="10" xfId="0" applyNumberFormat="1" applyFont="1" applyFill="1" applyBorder="1" applyAlignment="1">
      <alignment horizontal="center" vertical="center"/>
    </xf>
    <xf numFmtId="10" fontId="8" fillId="33" borderId="10" xfId="0" applyNumberFormat="1" applyFont="1" applyFill="1" applyBorder="1" applyAlignment="1">
      <alignment horizontal="center" vertical="center" wrapText="1"/>
    </xf>
    <xf numFmtId="179" fontId="8" fillId="33" borderId="10" xfId="0" applyNumberFormat="1" applyFont="1" applyFill="1" applyBorder="1" applyAlignment="1">
      <alignment horizontal="center" vertical="distributed"/>
    </xf>
    <xf numFmtId="0" fontId="5" fillId="0" borderId="21" xfId="0" applyNumberFormat="1" applyFont="1" applyFill="1" applyBorder="1" applyAlignment="1" applyProtection="1">
      <alignment vertical="top"/>
      <protection/>
    </xf>
    <xf numFmtId="179" fontId="8" fillId="33" borderId="21" xfId="0" applyNumberFormat="1" applyFont="1" applyFill="1" applyBorder="1" applyAlignment="1">
      <alignment horizontal="center" vertical="distributed"/>
    </xf>
    <xf numFmtId="188" fontId="8" fillId="33" borderId="21" xfId="0" applyNumberFormat="1" applyFont="1" applyFill="1" applyBorder="1" applyAlignment="1">
      <alignment horizontal="center" vertical="distributed"/>
    </xf>
    <xf numFmtId="179" fontId="6" fillId="0" borderId="21" xfId="0" applyNumberFormat="1" applyFont="1" applyFill="1" applyBorder="1" applyAlignment="1" applyProtection="1">
      <alignment vertical="top"/>
      <protection/>
    </xf>
    <xf numFmtId="0" fontId="12" fillId="0" borderId="0" xfId="0" applyFont="1" applyAlignment="1">
      <alignment vertical="distributed" wrapText="1"/>
    </xf>
    <xf numFmtId="0" fontId="12" fillId="0" borderId="0" xfId="0" applyFont="1" applyAlignment="1">
      <alignment horizontal="right" vertical="distributed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72" fontId="3" fillId="0" borderId="1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horizontal="right" vertical="top"/>
      <protection/>
    </xf>
    <xf numFmtId="186" fontId="11" fillId="0" borderId="10" xfId="0" applyNumberFormat="1" applyFont="1" applyFill="1" applyBorder="1" applyAlignment="1" applyProtection="1">
      <alignment horizontal="center" vertical="center" wrapText="1"/>
      <protection/>
    </xf>
    <xf numFmtId="186" fontId="11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Fill="1" applyBorder="1" applyAlignment="1" applyProtection="1">
      <alignment horizontal="center" vertical="justify"/>
      <protection/>
    </xf>
    <xf numFmtId="0" fontId="8" fillId="0" borderId="22" xfId="0" applyNumberFormat="1" applyFont="1" applyFill="1" applyBorder="1" applyAlignment="1" applyProtection="1">
      <alignment horizontal="center" vertical="justify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justify"/>
      <protection/>
    </xf>
    <xf numFmtId="4" fontId="11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22" xfId="0" applyNumberFormat="1" applyFill="1" applyBorder="1" applyAlignment="1" applyProtection="1">
      <alignment vertical="top"/>
      <protection/>
    </xf>
    <xf numFmtId="179" fontId="10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vertical="center" wrapText="1"/>
    </xf>
    <xf numFmtId="181" fontId="14" fillId="33" borderId="10" xfId="0" applyNumberFormat="1" applyFont="1" applyFill="1" applyBorder="1" applyAlignment="1">
      <alignment horizontal="left"/>
    </xf>
    <xf numFmtId="172" fontId="8" fillId="33" borderId="23" xfId="0" applyNumberFormat="1" applyFont="1" applyFill="1" applyBorder="1" applyAlignment="1">
      <alignment horizontal="center"/>
    </xf>
    <xf numFmtId="2" fontId="8" fillId="33" borderId="17" xfId="0" applyNumberFormat="1" applyFont="1" applyFill="1" applyBorder="1" applyAlignment="1">
      <alignment horizontal="center"/>
    </xf>
    <xf numFmtId="10" fontId="8" fillId="33" borderId="11" xfId="0" applyNumberFormat="1" applyFont="1" applyFill="1" applyBorder="1" applyAlignment="1">
      <alignment horizontal="center"/>
    </xf>
    <xf numFmtId="2" fontId="15" fillId="33" borderId="10" xfId="0" applyNumberFormat="1" applyFont="1" applyFill="1" applyBorder="1" applyAlignment="1">
      <alignment horizontal="center" wrapText="1"/>
    </xf>
    <xf numFmtId="172" fontId="8" fillId="33" borderId="17" xfId="0" applyNumberFormat="1" applyFont="1" applyFill="1" applyBorder="1" applyAlignment="1">
      <alignment horizontal="center"/>
    </xf>
    <xf numFmtId="177" fontId="8" fillId="33" borderId="17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distributed"/>
    </xf>
    <xf numFmtId="179" fontId="13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right"/>
    </xf>
    <xf numFmtId="17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distributed"/>
    </xf>
    <xf numFmtId="171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13" fillId="38" borderId="10" xfId="0" applyNumberFormat="1" applyFont="1" applyFill="1" applyBorder="1" applyAlignment="1">
      <alignment horizontal="center" vertical="center"/>
    </xf>
    <xf numFmtId="175" fontId="3" fillId="0" borderId="0" xfId="0" applyNumberFormat="1" applyFont="1" applyFill="1" applyBorder="1" applyAlignment="1" applyProtection="1">
      <alignment vertical="top"/>
      <protection/>
    </xf>
    <xf numFmtId="0" fontId="0" fillId="39" borderId="11" xfId="0" applyFont="1" applyFill="1" applyBorder="1" applyAlignment="1">
      <alignment horizontal="center" vertical="distributed"/>
    </xf>
    <xf numFmtId="0" fontId="0" fillId="39" borderId="10" xfId="0" applyFont="1" applyFill="1" applyBorder="1" applyAlignment="1">
      <alignment horizontal="center" vertical="distributed"/>
    </xf>
    <xf numFmtId="0" fontId="19" fillId="39" borderId="11" xfId="0" applyFont="1" applyFill="1" applyBorder="1" applyAlignment="1">
      <alignment horizontal="center" vertical="distributed"/>
    </xf>
    <xf numFmtId="181" fontId="8" fillId="0" borderId="0" xfId="0" applyNumberFormat="1" applyFont="1" applyFill="1" applyBorder="1" applyAlignment="1" applyProtection="1">
      <alignment vertical="top"/>
      <protection/>
    </xf>
    <xf numFmtId="175" fontId="3" fillId="0" borderId="10" xfId="0" applyNumberFormat="1" applyFont="1" applyFill="1" applyBorder="1" applyAlignment="1" applyProtection="1">
      <alignment horizontal="center" vertical="top"/>
      <protection/>
    </xf>
    <xf numFmtId="177" fontId="3" fillId="0" borderId="0" xfId="0" applyNumberFormat="1" applyFont="1" applyFill="1" applyBorder="1" applyAlignment="1" applyProtection="1">
      <alignment vertical="top"/>
      <protection/>
    </xf>
    <xf numFmtId="186" fontId="3" fillId="0" borderId="0" xfId="0" applyNumberFormat="1" applyFont="1" applyFill="1" applyBorder="1" applyAlignment="1" applyProtection="1">
      <alignment vertical="top"/>
      <protection/>
    </xf>
    <xf numFmtId="176" fontId="3" fillId="0" borderId="0" xfId="0" applyNumberFormat="1" applyFont="1" applyFill="1" applyBorder="1" applyAlignment="1" applyProtection="1">
      <alignment vertical="top"/>
      <protection/>
    </xf>
    <xf numFmtId="187" fontId="3" fillId="0" borderId="0" xfId="0" applyNumberFormat="1" applyFont="1" applyFill="1" applyBorder="1" applyAlignment="1" applyProtection="1">
      <alignment vertical="top"/>
      <protection/>
    </xf>
    <xf numFmtId="186" fontId="3" fillId="36" borderId="0" xfId="0" applyNumberFormat="1" applyFont="1" applyFill="1" applyBorder="1" applyAlignment="1" applyProtection="1">
      <alignment vertical="top"/>
      <protection/>
    </xf>
    <xf numFmtId="186" fontId="4" fillId="0" borderId="0" xfId="0" applyNumberFormat="1" applyFont="1" applyFill="1" applyBorder="1" applyAlignment="1" applyProtection="1">
      <alignment vertical="top"/>
      <protection/>
    </xf>
    <xf numFmtId="0" fontId="10" fillId="0" borderId="24" xfId="0" applyFont="1" applyBorder="1" applyAlignment="1">
      <alignment vertical="center"/>
    </xf>
    <xf numFmtId="179" fontId="10" fillId="0" borderId="24" xfId="0" applyNumberFormat="1" applyFont="1" applyBorder="1" applyAlignment="1">
      <alignment vertical="center"/>
    </xf>
    <xf numFmtId="179" fontId="11" fillId="0" borderId="0" xfId="0" applyNumberFormat="1" applyFont="1" applyFill="1" applyBorder="1" applyAlignment="1" applyProtection="1">
      <alignment vertical="top"/>
      <protection/>
    </xf>
    <xf numFmtId="180" fontId="11" fillId="0" borderId="0" xfId="0" applyNumberFormat="1" applyFont="1" applyFill="1" applyBorder="1" applyAlignment="1" applyProtection="1">
      <alignment vertical="top"/>
      <protection/>
    </xf>
    <xf numFmtId="175" fontId="11" fillId="0" borderId="10" xfId="0" applyNumberFormat="1" applyFont="1" applyFill="1" applyBorder="1" applyAlignment="1" applyProtection="1">
      <alignment horizontal="center" vertical="center"/>
      <protection/>
    </xf>
    <xf numFmtId="175" fontId="11" fillId="0" borderId="10" xfId="0" applyNumberFormat="1" applyFont="1" applyFill="1" applyBorder="1" applyAlignment="1" applyProtection="1">
      <alignment horizontal="center" vertical="center" wrapText="1"/>
      <protection/>
    </xf>
    <xf numFmtId="186" fontId="0" fillId="0" borderId="0" xfId="0" applyNumberFormat="1" applyAlignment="1">
      <alignment/>
    </xf>
    <xf numFmtId="4" fontId="0" fillId="0" borderId="0" xfId="0" applyNumberFormat="1" applyAlignment="1">
      <alignment/>
    </xf>
    <xf numFmtId="189" fontId="0" fillId="0" borderId="0" xfId="0" applyNumberFormat="1" applyAlignment="1">
      <alignment/>
    </xf>
    <xf numFmtId="194" fontId="3" fillId="0" borderId="0" xfId="0" applyNumberFormat="1" applyFont="1" applyFill="1" applyBorder="1" applyAlignment="1" applyProtection="1">
      <alignment vertical="top"/>
      <protection/>
    </xf>
    <xf numFmtId="0" fontId="0" fillId="38" borderId="10" xfId="0" applyFill="1" applyBorder="1" applyAlignment="1">
      <alignment/>
    </xf>
    <xf numFmtId="186" fontId="0" fillId="38" borderId="10" xfId="0" applyNumberFormat="1" applyFill="1" applyBorder="1" applyAlignment="1">
      <alignment/>
    </xf>
    <xf numFmtId="186" fontId="19" fillId="38" borderId="10" xfId="0" applyNumberFormat="1" applyFont="1" applyFill="1" applyBorder="1" applyAlignment="1">
      <alignment/>
    </xf>
    <xf numFmtId="186" fontId="0" fillId="33" borderId="10" xfId="0" applyNumberFormat="1" applyFill="1" applyBorder="1" applyAlignment="1">
      <alignment/>
    </xf>
    <xf numFmtId="0" fontId="8" fillId="0" borderId="0" xfId="0" applyNumberFormat="1" applyFont="1" applyFill="1" applyBorder="1" applyAlignment="1" applyProtection="1">
      <alignment horizontal="center" vertical="justify"/>
      <protection/>
    </xf>
    <xf numFmtId="2" fontId="10" fillId="0" borderId="0" xfId="0" applyNumberFormat="1" applyFont="1" applyFill="1" applyBorder="1" applyAlignment="1" applyProtection="1">
      <alignment vertical="top"/>
      <protection/>
    </xf>
    <xf numFmtId="179" fontId="8" fillId="33" borderId="23" xfId="0" applyNumberFormat="1" applyFont="1" applyFill="1" applyBorder="1" applyAlignment="1" applyProtection="1">
      <alignment horizontal="center" vertical="top"/>
      <protection/>
    </xf>
    <xf numFmtId="177" fontId="8" fillId="33" borderId="0" xfId="0" applyNumberFormat="1" applyFont="1" applyFill="1" applyBorder="1" applyAlignment="1">
      <alignment horizontal="center"/>
    </xf>
    <xf numFmtId="2" fontId="15" fillId="33" borderId="0" xfId="0" applyNumberFormat="1" applyFont="1" applyFill="1" applyBorder="1" applyAlignment="1">
      <alignment horizontal="center" wrapText="1"/>
    </xf>
    <xf numFmtId="179" fontId="10" fillId="33" borderId="0" xfId="0" applyNumberFormat="1" applyFont="1" applyFill="1" applyBorder="1" applyAlignment="1">
      <alignment horizontal="center" vertical="center"/>
    </xf>
    <xf numFmtId="179" fontId="10" fillId="0" borderId="0" xfId="0" applyNumberFormat="1" applyFont="1" applyBorder="1" applyAlignment="1">
      <alignment horizontal="center" vertical="center"/>
    </xf>
    <xf numFmtId="175" fontId="0" fillId="0" borderId="0" xfId="0" applyNumberFormat="1" applyAlignment="1">
      <alignment/>
    </xf>
    <xf numFmtId="175" fontId="4" fillId="0" borderId="12" xfId="0" applyNumberFormat="1" applyFont="1" applyFill="1" applyBorder="1" applyAlignment="1">
      <alignment horizontal="center" vertical="center"/>
    </xf>
    <xf numFmtId="175" fontId="3" fillId="0" borderId="13" xfId="0" applyNumberFormat="1" applyFont="1" applyFill="1" applyBorder="1" applyAlignment="1">
      <alignment horizontal="center" vertical="center"/>
    </xf>
    <xf numFmtId="175" fontId="3" fillId="0" borderId="10" xfId="0" applyNumberFormat="1" applyFont="1" applyFill="1" applyBorder="1" applyAlignment="1">
      <alignment horizontal="center" vertical="center"/>
    </xf>
    <xf numFmtId="175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distributed" wrapText="1"/>
    </xf>
    <xf numFmtId="0" fontId="3" fillId="0" borderId="0" xfId="0" applyFont="1" applyAlignment="1">
      <alignment horizontal="right" vertical="distributed" wrapText="1"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175" fontId="3" fillId="0" borderId="10" xfId="0" applyNumberFormat="1" applyFont="1" applyFill="1" applyBorder="1" applyAlignment="1">
      <alignment horizontal="center"/>
    </xf>
    <xf numFmtId="174" fontId="3" fillId="40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/>
    </xf>
    <xf numFmtId="0" fontId="3" fillId="41" borderId="10" xfId="0" applyFont="1" applyFill="1" applyBorder="1" applyAlignment="1">
      <alignment horizontal="center" vertical="center" wrapText="1"/>
    </xf>
    <xf numFmtId="175" fontId="4" fillId="41" borderId="11" xfId="0" applyNumberFormat="1" applyFont="1" applyFill="1" applyBorder="1" applyAlignment="1">
      <alignment horizontal="center" vertical="center"/>
    </xf>
    <xf numFmtId="2" fontId="4" fillId="41" borderId="11" xfId="0" applyNumberFormat="1" applyFont="1" applyFill="1" applyBorder="1" applyAlignment="1">
      <alignment horizontal="center" vertical="center"/>
    </xf>
    <xf numFmtId="175" fontId="3" fillId="41" borderId="10" xfId="0" applyNumberFormat="1" applyFont="1" applyFill="1" applyBorder="1" applyAlignment="1" applyProtection="1">
      <alignment horizontal="center" vertical="top"/>
      <protection/>
    </xf>
    <xf numFmtId="0" fontId="4" fillId="0" borderId="12" xfId="0" applyFont="1" applyFill="1" applyBorder="1" applyAlignment="1">
      <alignment vertical="center"/>
    </xf>
    <xf numFmtId="173" fontId="4" fillId="0" borderId="12" xfId="0" applyNumberFormat="1" applyFont="1" applyFill="1" applyBorder="1" applyAlignment="1">
      <alignment vertical="center"/>
    </xf>
    <xf numFmtId="177" fontId="4" fillId="0" borderId="12" xfId="0" applyNumberFormat="1" applyFont="1" applyFill="1" applyBorder="1" applyAlignment="1">
      <alignment vertical="center"/>
    </xf>
    <xf numFmtId="172" fontId="4" fillId="41" borderId="11" xfId="0" applyNumberFormat="1" applyFont="1" applyFill="1" applyBorder="1" applyAlignment="1">
      <alignment horizontal="center" vertical="center"/>
    </xf>
    <xf numFmtId="2" fontId="4" fillId="41" borderId="10" xfId="0" applyNumberFormat="1" applyFont="1" applyFill="1" applyBorder="1" applyAlignment="1">
      <alignment horizontal="center" vertical="center"/>
    </xf>
    <xf numFmtId="198" fontId="4" fillId="0" borderId="12" xfId="0" applyNumberFormat="1" applyFont="1" applyFill="1" applyBorder="1" applyAlignment="1">
      <alignment vertical="center"/>
    </xf>
    <xf numFmtId="186" fontId="3" fillId="41" borderId="0" xfId="0" applyNumberFormat="1" applyFont="1" applyFill="1" applyBorder="1" applyAlignment="1" applyProtection="1">
      <alignment vertical="top"/>
      <protection/>
    </xf>
    <xf numFmtId="186" fontId="3" fillId="41" borderId="0" xfId="0" applyNumberFormat="1" applyFont="1" applyFill="1" applyBorder="1" applyAlignment="1" applyProtection="1">
      <alignment horizontal="center" vertical="center"/>
      <protection/>
    </xf>
    <xf numFmtId="4" fontId="3" fillId="41" borderId="0" xfId="0" applyNumberFormat="1" applyFont="1" applyFill="1" applyBorder="1" applyAlignment="1" applyProtection="1">
      <alignment horizontal="center" vertical="center"/>
      <protection/>
    </xf>
    <xf numFmtId="186" fontId="4" fillId="41" borderId="0" xfId="0" applyNumberFormat="1" applyFont="1" applyFill="1" applyBorder="1" applyAlignment="1" applyProtection="1">
      <alignment vertical="top"/>
      <protection/>
    </xf>
    <xf numFmtId="194" fontId="3" fillId="41" borderId="0" xfId="0" applyNumberFormat="1" applyFont="1" applyFill="1" applyBorder="1" applyAlignment="1" applyProtection="1">
      <alignment vertical="top"/>
      <protection/>
    </xf>
    <xf numFmtId="174" fontId="3" fillId="41" borderId="10" xfId="0" applyNumberFormat="1" applyFont="1" applyFill="1" applyBorder="1" applyAlignment="1">
      <alignment horizontal="center" vertical="center" wrapText="1"/>
    </xf>
    <xf numFmtId="175" fontId="0" fillId="41" borderId="10" xfId="0" applyNumberFormat="1" applyFill="1" applyBorder="1" applyAlignment="1">
      <alignment/>
    </xf>
    <xf numFmtId="0" fontId="0" fillId="41" borderId="10" xfId="0" applyFill="1" applyBorder="1" applyAlignment="1">
      <alignment/>
    </xf>
    <xf numFmtId="175" fontId="5" fillId="0" borderId="0" xfId="0" applyNumberFormat="1" applyFont="1" applyFill="1" applyBorder="1" applyAlignment="1" applyProtection="1">
      <alignment vertical="top"/>
      <protection/>
    </xf>
    <xf numFmtId="2" fontId="5" fillId="0" borderId="0" xfId="0" applyNumberFormat="1" applyFont="1" applyFill="1" applyBorder="1" applyAlignment="1" applyProtection="1">
      <alignment vertical="top"/>
      <protection/>
    </xf>
    <xf numFmtId="2" fontId="10" fillId="33" borderId="10" xfId="0" applyNumberFormat="1" applyFont="1" applyFill="1" applyBorder="1" applyAlignment="1">
      <alignment horizontal="center" vertical="center"/>
    </xf>
    <xf numFmtId="2" fontId="8" fillId="33" borderId="23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186" fontId="0" fillId="33" borderId="24" xfId="0" applyNumberFormat="1" applyFill="1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4" fontId="0" fillId="33" borderId="0" xfId="0" applyNumberFormat="1" applyFill="1" applyBorder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2" fontId="33" fillId="0" borderId="10" xfId="0" applyNumberFormat="1" applyFont="1" applyFill="1" applyBorder="1" applyAlignment="1" applyProtection="1">
      <alignment horizontal="center" vertical="center" wrapText="1"/>
      <protection/>
    </xf>
    <xf numFmtId="189" fontId="3" fillId="0" borderId="0" xfId="0" applyNumberFormat="1" applyFont="1" applyFill="1" applyBorder="1" applyAlignment="1" applyProtection="1">
      <alignment vertical="top"/>
      <protection/>
    </xf>
    <xf numFmtId="0" fontId="34" fillId="33" borderId="17" xfId="0" applyFont="1" applyFill="1" applyBorder="1" applyAlignment="1">
      <alignment vertical="center" wrapText="1"/>
    </xf>
    <xf numFmtId="0" fontId="0" fillId="0" borderId="10" xfId="0" applyNumberFormat="1" applyFill="1" applyBorder="1" applyAlignment="1" applyProtection="1">
      <alignment horizontal="center" vertical="distributed"/>
      <protection/>
    </xf>
    <xf numFmtId="0" fontId="0" fillId="0" borderId="23" xfId="0" applyNumberFormat="1" applyFill="1" applyBorder="1" applyAlignment="1" applyProtection="1">
      <alignment horizontal="center" vertical="distributed"/>
      <protection/>
    </xf>
    <xf numFmtId="0" fontId="34" fillId="33" borderId="10" xfId="0" applyFont="1" applyFill="1" applyBorder="1" applyAlignment="1">
      <alignment vertical="center" wrapText="1"/>
    </xf>
    <xf numFmtId="172" fontId="11" fillId="0" borderId="10" xfId="0" applyNumberFormat="1" applyFont="1" applyFill="1" applyBorder="1" applyAlignment="1" applyProtection="1">
      <alignment horizontal="center" vertical="center" wrapText="1"/>
      <protection/>
    </xf>
    <xf numFmtId="179" fontId="0" fillId="0" borderId="0" xfId="0" applyNumberFormat="1" applyAlignment="1">
      <alignment/>
    </xf>
    <xf numFmtId="0" fontId="0" fillId="0" borderId="0" xfId="0" applyNumberFormat="1" applyAlignment="1">
      <alignment/>
    </xf>
    <xf numFmtId="188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39" borderId="11" xfId="0" applyFill="1" applyBorder="1" applyAlignment="1">
      <alignment horizontal="center" vertical="distributed"/>
    </xf>
    <xf numFmtId="179" fontId="13" fillId="33" borderId="1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 applyProtection="1">
      <alignment vertical="top"/>
      <protection/>
    </xf>
    <xf numFmtId="10" fontId="11" fillId="0" borderId="0" xfId="0" applyNumberFormat="1" applyFont="1" applyFill="1" applyBorder="1" applyAlignment="1" applyProtection="1">
      <alignment vertical="top"/>
      <protection/>
    </xf>
    <xf numFmtId="10" fontId="3" fillId="0" borderId="0" xfId="0" applyNumberFormat="1" applyFont="1" applyFill="1" applyBorder="1" applyAlignment="1" applyProtection="1">
      <alignment vertical="top"/>
      <protection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38" borderId="0" xfId="0" applyNumberFormat="1" applyFill="1" applyAlignment="1">
      <alignment horizontal="center" vertical="center"/>
    </xf>
    <xf numFmtId="4" fontId="0" fillId="38" borderId="10" xfId="0" applyNumberFormat="1" applyFill="1" applyBorder="1" applyAlignment="1">
      <alignment horizontal="center" vertical="center"/>
    </xf>
    <xf numFmtId="4" fontId="35" fillId="0" borderId="10" xfId="0" applyNumberFormat="1" applyFont="1" applyBorder="1" applyAlignment="1">
      <alignment horizontal="center" vertical="center"/>
    </xf>
    <xf numFmtId="179" fontId="8" fillId="0" borderId="0" xfId="0" applyNumberFormat="1" applyFont="1" applyFill="1" applyBorder="1" applyAlignment="1" applyProtection="1">
      <alignment vertical="top"/>
      <protection/>
    </xf>
    <xf numFmtId="0" fontId="11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center" vertical="distributed"/>
      <protection/>
    </xf>
    <xf numFmtId="0" fontId="34" fillId="33" borderId="13" xfId="0" applyFont="1" applyFill="1" applyBorder="1" applyAlignment="1">
      <alignment vertical="center" wrapText="1"/>
    </xf>
    <xf numFmtId="9" fontId="0" fillId="0" borderId="0" xfId="0" applyNumberFormat="1" applyAlignment="1">
      <alignment/>
    </xf>
    <xf numFmtId="0" fontId="0" fillId="33" borderId="10" xfId="0" applyNumberFormat="1" applyFill="1" applyBorder="1" applyAlignment="1" applyProtection="1">
      <alignment horizontal="center" vertical="distributed"/>
      <protection/>
    </xf>
    <xf numFmtId="172" fontId="11" fillId="33" borderId="10" xfId="0" applyNumberFormat="1" applyFont="1" applyFill="1" applyBorder="1" applyAlignment="1" applyProtection="1">
      <alignment horizontal="center" vertical="center" wrapText="1"/>
      <protection/>
    </xf>
    <xf numFmtId="175" fontId="11" fillId="33" borderId="10" xfId="0" applyNumberFormat="1" applyFont="1" applyFill="1" applyBorder="1" applyAlignment="1" applyProtection="1">
      <alignment horizontal="center" vertical="center" wrapText="1"/>
      <protection/>
    </xf>
    <xf numFmtId="179" fontId="11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distributed"/>
      <protection/>
    </xf>
    <xf numFmtId="203" fontId="11" fillId="0" borderId="0" xfId="0" applyNumberFormat="1" applyFont="1" applyFill="1" applyBorder="1" applyAlignment="1" applyProtection="1">
      <alignment horizontal="center" vertical="top"/>
      <protection/>
    </xf>
    <xf numFmtId="212" fontId="11" fillId="0" borderId="0" xfId="0" applyNumberFormat="1" applyFont="1" applyFill="1" applyBorder="1" applyAlignment="1" applyProtection="1">
      <alignment horizontal="center" vertical="top"/>
      <protection/>
    </xf>
    <xf numFmtId="4" fontId="3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Alignment="1">
      <alignment/>
    </xf>
    <xf numFmtId="174" fontId="0" fillId="0" borderId="0" xfId="0" applyNumberFormat="1" applyAlignment="1">
      <alignment/>
    </xf>
    <xf numFmtId="213" fontId="0" fillId="0" borderId="0" xfId="0" applyNumberFormat="1" applyAlignment="1">
      <alignment/>
    </xf>
    <xf numFmtId="179" fontId="0" fillId="0" borderId="0" xfId="0" applyNumberFormat="1" applyBorder="1" applyAlignment="1">
      <alignment/>
    </xf>
    <xf numFmtId="2" fontId="11" fillId="33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distributed" wrapText="1"/>
      <protection/>
    </xf>
    <xf numFmtId="179" fontId="11" fillId="38" borderId="23" xfId="0" applyNumberFormat="1" applyFont="1" applyFill="1" applyBorder="1" applyAlignment="1" applyProtection="1">
      <alignment horizontal="center" vertical="center" wrapText="1"/>
      <protection/>
    </xf>
    <xf numFmtId="179" fontId="11" fillId="0" borderId="23" xfId="0" applyNumberFormat="1" applyFont="1" applyFill="1" applyBorder="1" applyAlignment="1" applyProtection="1">
      <alignment horizontal="center" vertical="center" wrapText="1"/>
      <protection/>
    </xf>
    <xf numFmtId="179" fontId="11" fillId="33" borderId="23" xfId="0" applyNumberFormat="1" applyFont="1" applyFill="1" applyBorder="1" applyAlignment="1" applyProtection="1">
      <alignment horizontal="center" vertical="center" wrapText="1"/>
      <protection/>
    </xf>
    <xf numFmtId="179" fontId="0" fillId="0" borderId="23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11" fillId="0" borderId="25" xfId="0" applyNumberFormat="1" applyFont="1" applyFill="1" applyBorder="1" applyAlignment="1" applyProtection="1">
      <alignment horizontal="center" vertical="distributed" wrapText="1"/>
      <protection/>
    </xf>
    <xf numFmtId="0" fontId="0" fillId="0" borderId="13" xfId="0" applyBorder="1" applyAlignment="1">
      <alignment/>
    </xf>
    <xf numFmtId="0" fontId="12" fillId="33" borderId="10" xfId="0" applyFont="1" applyFill="1" applyBorder="1" applyAlignment="1">
      <alignment horizontal="right" vertical="distributed" wrapText="1"/>
    </xf>
    <xf numFmtId="0" fontId="12" fillId="33" borderId="10" xfId="0" applyNumberFormat="1" applyFont="1" applyFill="1" applyBorder="1" applyAlignment="1" applyProtection="1">
      <alignment horizontal="right" vertical="top"/>
      <protection/>
    </xf>
    <xf numFmtId="0" fontId="8" fillId="33" borderId="10" xfId="0" applyNumberFormat="1" applyFont="1" applyFill="1" applyBorder="1" applyAlignment="1" applyProtection="1">
      <alignment vertical="top"/>
      <protection/>
    </xf>
    <xf numFmtId="0" fontId="10" fillId="33" borderId="10" xfId="0" applyNumberFormat="1" applyFont="1" applyFill="1" applyBorder="1" applyAlignment="1" applyProtection="1">
      <alignment horizontal="center" vertical="justify"/>
      <protection/>
    </xf>
    <xf numFmtId="0" fontId="0" fillId="33" borderId="10" xfId="0" applyNumberFormat="1" applyFill="1" applyBorder="1" applyAlignment="1" applyProtection="1">
      <alignment vertical="top"/>
      <protection/>
    </xf>
    <xf numFmtId="0" fontId="11" fillId="33" borderId="10" xfId="0" applyNumberFormat="1" applyFont="1" applyFill="1" applyBorder="1" applyAlignment="1" applyProtection="1">
      <alignment horizontal="center" vertical="distributed" wrapText="1"/>
      <protection/>
    </xf>
    <xf numFmtId="188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2" fontId="11" fillId="33" borderId="10" xfId="0" applyNumberFormat="1" applyFont="1" applyFill="1" applyBorder="1" applyAlignment="1" applyProtection="1">
      <alignment horizontal="left" vertical="center" wrapText="1"/>
      <protection/>
    </xf>
    <xf numFmtId="2" fontId="23" fillId="33" borderId="10" xfId="0" applyNumberFormat="1" applyFont="1" applyFill="1" applyBorder="1" applyAlignment="1" applyProtection="1">
      <alignment horizontal="right" vertical="center" wrapText="1"/>
      <protection/>
    </xf>
    <xf numFmtId="175" fontId="23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17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vertical="center" wrapText="1"/>
      <protection/>
    </xf>
    <xf numFmtId="4" fontId="11" fillId="0" borderId="13" xfId="0" applyNumberFormat="1" applyFont="1" applyFill="1" applyBorder="1" applyAlignment="1" applyProtection="1">
      <alignment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23" xfId="0" applyNumberFormat="1" applyFont="1" applyFill="1" applyBorder="1" applyAlignment="1" applyProtection="1">
      <alignment horizontal="center" vertical="center" wrapText="1"/>
      <protection/>
    </xf>
    <xf numFmtId="172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 horizontal="center" vertical="center"/>
    </xf>
    <xf numFmtId="19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/>
    </xf>
    <xf numFmtId="2" fontId="4" fillId="33" borderId="11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172" fontId="4" fillId="33" borderId="11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 applyProtection="1">
      <alignment vertical="top"/>
      <protection/>
    </xf>
    <xf numFmtId="178" fontId="3" fillId="0" borderId="0" xfId="57" applyNumberFormat="1" applyFont="1" applyFill="1" applyBorder="1" applyAlignment="1" applyProtection="1">
      <alignment horizontal="center" vertical="top"/>
      <protection/>
    </xf>
    <xf numFmtId="172" fontId="4" fillId="0" borderId="12" xfId="0" applyNumberFormat="1" applyFont="1" applyFill="1" applyBorder="1" applyAlignment="1">
      <alignment vertical="center"/>
    </xf>
    <xf numFmtId="175" fontId="3" fillId="33" borderId="10" xfId="0" applyNumberFormat="1" applyFont="1" applyFill="1" applyBorder="1" applyAlignment="1" applyProtection="1">
      <alignment horizontal="center" vertical="top"/>
      <protection/>
    </xf>
    <xf numFmtId="173" fontId="3" fillId="0" borderId="0" xfId="0" applyNumberFormat="1" applyFont="1" applyFill="1" applyBorder="1" applyAlignment="1" applyProtection="1">
      <alignment vertical="top"/>
      <protection/>
    </xf>
    <xf numFmtId="194" fontId="3" fillId="33" borderId="0" xfId="0" applyNumberFormat="1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horizontal="center" vertical="center"/>
      <protection/>
    </xf>
    <xf numFmtId="186" fontId="3" fillId="0" borderId="0" xfId="0" applyNumberFormat="1" applyFont="1" applyFill="1" applyBorder="1" applyAlignment="1" applyProtection="1">
      <alignment vertical="distributed"/>
      <protection/>
    </xf>
    <xf numFmtId="194" fontId="3" fillId="38" borderId="0" xfId="0" applyNumberFormat="1" applyFont="1" applyFill="1" applyBorder="1" applyAlignment="1" applyProtection="1">
      <alignment vertical="top"/>
      <protection/>
    </xf>
    <xf numFmtId="0" fontId="3" fillId="38" borderId="0" xfId="0" applyNumberFormat="1" applyFont="1" applyFill="1" applyBorder="1" applyAlignment="1" applyProtection="1">
      <alignment vertical="top"/>
      <protection/>
    </xf>
    <xf numFmtId="186" fontId="3" fillId="38" borderId="0" xfId="0" applyNumberFormat="1" applyFont="1" applyFill="1" applyBorder="1" applyAlignment="1" applyProtection="1">
      <alignment vertical="top"/>
      <protection/>
    </xf>
    <xf numFmtId="194" fontId="24" fillId="38" borderId="0" xfId="0" applyNumberFormat="1" applyFont="1" applyFill="1" applyBorder="1" applyAlignment="1" applyProtection="1">
      <alignment vertical="distributed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175" fontId="14" fillId="0" borderId="0" xfId="0" applyNumberFormat="1" applyFont="1" applyFill="1" applyBorder="1" applyAlignment="1" applyProtection="1">
      <alignment vertical="top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10" fontId="3" fillId="0" borderId="24" xfId="0" applyNumberFormat="1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horizontal="center" vertical="center" textRotation="90"/>
      <protection/>
    </xf>
    <xf numFmtId="0" fontId="3" fillId="0" borderId="23" xfId="0" applyNumberFormat="1" applyFont="1" applyFill="1" applyBorder="1" applyAlignment="1" applyProtection="1">
      <alignment vertical="top"/>
      <protection/>
    </xf>
    <xf numFmtId="10" fontId="3" fillId="0" borderId="10" xfId="0" applyNumberFormat="1" applyFont="1" applyFill="1" applyBorder="1" applyAlignment="1" applyProtection="1">
      <alignment vertical="top"/>
      <protection/>
    </xf>
    <xf numFmtId="177" fontId="4" fillId="0" borderId="10" xfId="0" applyNumberFormat="1" applyFont="1" applyFill="1" applyBorder="1" applyAlignment="1" applyProtection="1">
      <alignment horizontal="center" vertical="top"/>
      <protection/>
    </xf>
    <xf numFmtId="4" fontId="3" fillId="0" borderId="21" xfId="0" applyNumberFormat="1" applyFont="1" applyFill="1" applyBorder="1" applyAlignment="1" applyProtection="1">
      <alignment vertical="center" textRotation="90"/>
      <protection/>
    </xf>
    <xf numFmtId="4" fontId="3" fillId="0" borderId="0" xfId="0" applyNumberFormat="1" applyFont="1" applyFill="1" applyBorder="1" applyAlignment="1" applyProtection="1">
      <alignment vertical="center" textRotation="90"/>
      <protection/>
    </xf>
    <xf numFmtId="4" fontId="3" fillId="0" borderId="24" xfId="0" applyNumberFormat="1" applyFont="1" applyFill="1" applyBorder="1" applyAlignment="1" applyProtection="1">
      <alignment horizontal="center" vertical="center"/>
      <protection/>
    </xf>
    <xf numFmtId="186" fontId="21" fillId="33" borderId="0" xfId="0" applyNumberFormat="1" applyFont="1" applyFill="1" applyBorder="1" applyAlignment="1" applyProtection="1">
      <alignment horizontal="center" vertical="top"/>
      <protection/>
    </xf>
    <xf numFmtId="213" fontId="3" fillId="0" borderId="0" xfId="0" applyNumberFormat="1" applyFont="1" applyFill="1" applyBorder="1" applyAlignment="1" applyProtection="1">
      <alignment vertical="distributed"/>
      <protection/>
    </xf>
    <xf numFmtId="186" fontId="25" fillId="0" borderId="0" xfId="0" applyNumberFormat="1" applyFont="1" applyFill="1" applyBorder="1" applyAlignment="1" applyProtection="1">
      <alignment vertical="distributed"/>
      <protection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distributed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distributed"/>
    </xf>
    <xf numFmtId="0" fontId="5" fillId="0" borderId="10" xfId="0" applyFont="1" applyBorder="1" applyAlignment="1">
      <alignment horizontal="center" vertical="distributed" shrinkToFit="1"/>
    </xf>
    <xf numFmtId="171" fontId="5" fillId="0" borderId="10" xfId="0" applyNumberFormat="1" applyFont="1" applyBorder="1" applyAlignment="1">
      <alignment horizontal="center" vertical="center"/>
    </xf>
    <xf numFmtId="175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4" fontId="5" fillId="0" borderId="0" xfId="0" applyNumberFormat="1" applyFont="1" applyAlignment="1">
      <alignment vertical="center"/>
    </xf>
    <xf numFmtId="175" fontId="6" fillId="0" borderId="10" xfId="0" applyNumberFormat="1" applyFont="1" applyBorder="1" applyAlignment="1">
      <alignment horizontal="center" vertical="center"/>
    </xf>
    <xf numFmtId="190" fontId="3" fillId="0" borderId="0" xfId="0" applyNumberFormat="1" applyFont="1" applyFill="1" applyBorder="1" applyAlignment="1" applyProtection="1">
      <alignment vertical="top"/>
      <protection/>
    </xf>
    <xf numFmtId="215" fontId="5" fillId="0" borderId="10" xfId="0" applyNumberFormat="1" applyFont="1" applyBorder="1" applyAlignment="1">
      <alignment horizontal="center" vertical="center"/>
    </xf>
    <xf numFmtId="186" fontId="3" fillId="41" borderId="26" xfId="0" applyNumberFormat="1" applyFont="1" applyFill="1" applyBorder="1" applyAlignment="1" applyProtection="1">
      <alignment vertical="top"/>
      <protection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distributed"/>
    </xf>
    <xf numFmtId="0" fontId="0" fillId="33" borderId="10" xfId="0" applyFill="1" applyBorder="1" applyAlignment="1">
      <alignment horizontal="center" vertical="center"/>
    </xf>
    <xf numFmtId="179" fontId="1" fillId="33" borderId="10" xfId="0" applyNumberFormat="1" applyFont="1" applyFill="1" applyBorder="1" applyAlignment="1">
      <alignment horizontal="center" vertical="center"/>
    </xf>
    <xf numFmtId="181" fontId="1" fillId="33" borderId="10" xfId="0" applyNumberFormat="1" applyFont="1" applyFill="1" applyBorder="1" applyAlignment="1">
      <alignment horizontal="center" vertical="center"/>
    </xf>
    <xf numFmtId="181" fontId="1" fillId="33" borderId="23" xfId="0" applyNumberFormat="1" applyFont="1" applyFill="1" applyBorder="1" applyAlignment="1">
      <alignment horizontal="center" vertical="center"/>
    </xf>
    <xf numFmtId="179" fontId="2" fillId="33" borderId="10" xfId="0" applyNumberFormat="1" applyFont="1" applyFill="1" applyBorder="1" applyAlignment="1">
      <alignment horizontal="center" vertical="distributed"/>
    </xf>
    <xf numFmtId="179" fontId="2" fillId="33" borderId="0" xfId="0" applyNumberFormat="1" applyFont="1" applyFill="1" applyAlignment="1">
      <alignment horizontal="center" vertical="center"/>
    </xf>
    <xf numFmtId="179" fontId="1" fillId="33" borderId="0" xfId="0" applyNumberFormat="1" applyFont="1" applyFill="1" applyAlignment="1">
      <alignment horizontal="center" vertical="center"/>
    </xf>
    <xf numFmtId="183" fontId="1" fillId="33" borderId="0" xfId="0" applyNumberFormat="1" applyFont="1" applyFill="1" applyAlignment="1">
      <alignment horizontal="center" vertical="center"/>
    </xf>
    <xf numFmtId="178" fontId="1" fillId="33" borderId="0" xfId="0" applyNumberFormat="1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81" fontId="27" fillId="33" borderId="23" xfId="0" applyNumberFormat="1" applyFont="1" applyFill="1" applyBorder="1" applyAlignment="1">
      <alignment horizontal="center" vertical="center"/>
    </xf>
    <xf numFmtId="179" fontId="18" fillId="33" borderId="10" xfId="0" applyNumberFormat="1" applyFont="1" applyFill="1" applyBorder="1" applyAlignment="1">
      <alignment horizontal="center" vertical="distributed"/>
    </xf>
    <xf numFmtId="179" fontId="27" fillId="33" borderId="10" xfId="0" applyNumberFormat="1" applyFont="1" applyFill="1" applyBorder="1" applyAlignment="1">
      <alignment horizontal="center" vertical="center"/>
    </xf>
    <xf numFmtId="179" fontId="1" fillId="33" borderId="23" xfId="0" applyNumberFormat="1" applyFont="1" applyFill="1" applyBorder="1" applyAlignment="1">
      <alignment horizontal="center" vertical="center"/>
    </xf>
    <xf numFmtId="13" fontId="1" fillId="33" borderId="10" xfId="0" applyNumberFormat="1" applyFont="1" applyFill="1" applyBorder="1" applyAlignment="1">
      <alignment horizontal="center" vertical="center"/>
    </xf>
    <xf numFmtId="179" fontId="1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181" fontId="1" fillId="33" borderId="0" xfId="0" applyNumberFormat="1" applyFont="1" applyFill="1" applyAlignment="1">
      <alignment horizontal="center" vertical="center"/>
    </xf>
    <xf numFmtId="184" fontId="1" fillId="33" borderId="0" xfId="0" applyNumberFormat="1" applyFont="1" applyFill="1" applyAlignment="1">
      <alignment horizontal="center" vertical="center"/>
    </xf>
    <xf numFmtId="182" fontId="1" fillId="33" borderId="0" xfId="0" applyNumberFormat="1" applyFont="1" applyFill="1" applyAlignment="1">
      <alignment horizontal="center" vertical="center"/>
    </xf>
    <xf numFmtId="171" fontId="1" fillId="33" borderId="0" xfId="60" applyNumberFormat="1" applyFont="1" applyFill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2" fillId="33" borderId="23" xfId="0" applyFont="1" applyFill="1" applyBorder="1" applyAlignment="1">
      <alignment horizontal="center" vertical="center"/>
    </xf>
    <xf numFmtId="179" fontId="21" fillId="33" borderId="10" xfId="0" applyNumberFormat="1" applyFont="1" applyFill="1" applyBorder="1" applyAlignment="1">
      <alignment horizontal="center" vertical="center"/>
    </xf>
    <xf numFmtId="4" fontId="21" fillId="33" borderId="10" xfId="0" applyNumberFormat="1" applyFont="1" applyFill="1" applyBorder="1" applyAlignment="1">
      <alignment horizontal="center" vertical="center"/>
    </xf>
    <xf numFmtId="179" fontId="21" fillId="33" borderId="23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10" fontId="1" fillId="33" borderId="0" xfId="0" applyNumberFormat="1" applyFont="1" applyFill="1" applyAlignment="1">
      <alignment horizontal="center" vertical="center"/>
    </xf>
    <xf numFmtId="189" fontId="2" fillId="33" borderId="0" xfId="0" applyNumberFormat="1" applyFont="1" applyFill="1" applyAlignment="1">
      <alignment horizontal="center" vertical="center"/>
    </xf>
    <xf numFmtId="189" fontId="1" fillId="33" borderId="0" xfId="0" applyNumberFormat="1" applyFont="1" applyFill="1" applyAlignment="1">
      <alignment horizontal="center" vertical="center"/>
    </xf>
    <xf numFmtId="4" fontId="1" fillId="33" borderId="0" xfId="0" applyNumberFormat="1" applyFont="1" applyFill="1" applyAlignment="1">
      <alignment horizontal="center" vertical="center"/>
    </xf>
    <xf numFmtId="0" fontId="3" fillId="33" borderId="10" xfId="0" applyFont="1" applyFill="1" applyBorder="1" applyAlignment="1">
      <alignment horizontal="left" vertical="distributed"/>
    </xf>
    <xf numFmtId="179" fontId="16" fillId="33" borderId="0" xfId="42" applyNumberFormat="1" applyFill="1" applyAlignment="1" applyProtection="1">
      <alignment horizontal="center" vertical="center"/>
      <protection/>
    </xf>
    <xf numFmtId="2" fontId="21" fillId="33" borderId="10" xfId="0" applyNumberFormat="1" applyFont="1" applyFill="1" applyBorder="1" applyAlignment="1">
      <alignment horizontal="center" vertical="center"/>
    </xf>
    <xf numFmtId="179" fontId="22" fillId="33" borderId="23" xfId="0" applyNumberFormat="1" applyFont="1" applyFill="1" applyBorder="1" applyAlignment="1">
      <alignment horizontal="center" vertical="center"/>
    </xf>
    <xf numFmtId="9" fontId="21" fillId="33" borderId="0" xfId="0" applyNumberFormat="1" applyFont="1" applyFill="1" applyAlignment="1">
      <alignment horizontal="center" vertical="center"/>
    </xf>
    <xf numFmtId="0" fontId="3" fillId="33" borderId="22" xfId="0" applyFont="1" applyFill="1" applyBorder="1" applyAlignment="1">
      <alignment vertical="center" wrapText="1"/>
    </xf>
    <xf numFmtId="175" fontId="0" fillId="33" borderId="10" xfId="0" applyNumberFormat="1" applyFill="1" applyBorder="1" applyAlignment="1">
      <alignment horizontal="center" vertical="center"/>
    </xf>
    <xf numFmtId="192" fontId="1" fillId="33" borderId="10" xfId="0" applyNumberFormat="1" applyFon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2" fontId="0" fillId="33" borderId="0" xfId="0" applyNumberFormat="1" applyFill="1" applyAlignment="1">
      <alignment horizontal="center" vertical="center"/>
    </xf>
    <xf numFmtId="4" fontId="0" fillId="33" borderId="0" xfId="0" applyNumberFormat="1" applyFill="1" applyAlignment="1">
      <alignment horizontal="center" vertical="center"/>
    </xf>
    <xf numFmtId="197" fontId="1" fillId="33" borderId="0" xfId="0" applyNumberFormat="1" applyFont="1" applyFill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192" fontId="27" fillId="33" borderId="17" xfId="0" applyNumberFormat="1" applyFont="1" applyFill="1" applyBorder="1" applyAlignment="1">
      <alignment horizontal="center" vertical="center"/>
    </xf>
    <xf numFmtId="2" fontId="1" fillId="33" borderId="27" xfId="0" applyNumberFormat="1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181" fontId="27" fillId="33" borderId="17" xfId="0" applyNumberFormat="1" applyFont="1" applyFill="1" applyBorder="1" applyAlignment="1">
      <alignment horizontal="center" vertical="center"/>
    </xf>
    <xf numFmtId="181" fontId="1" fillId="33" borderId="29" xfId="0" applyNumberFormat="1" applyFont="1" applyFill="1" applyBorder="1" applyAlignment="1">
      <alignment horizontal="center" vertical="center"/>
    </xf>
    <xf numFmtId="179" fontId="28" fillId="33" borderId="10" xfId="0" applyNumberFormat="1" applyFont="1" applyFill="1" applyBorder="1" applyAlignment="1">
      <alignment horizontal="center" vertical="center"/>
    </xf>
    <xf numFmtId="190" fontId="1" fillId="33" borderId="0" xfId="0" applyNumberFormat="1" applyFont="1" applyFill="1" applyAlignment="1">
      <alignment horizontal="center" vertical="center"/>
    </xf>
    <xf numFmtId="190" fontId="27" fillId="33" borderId="0" xfId="0" applyNumberFormat="1" applyFont="1" applyFill="1" applyAlignment="1">
      <alignment horizontal="center" vertical="center"/>
    </xf>
    <xf numFmtId="0" fontId="30" fillId="0" borderId="0" xfId="0" applyFont="1" applyAlignment="1">
      <alignment/>
    </xf>
    <xf numFmtId="0" fontId="31" fillId="33" borderId="10" xfId="0" applyFont="1" applyFill="1" applyBorder="1" applyAlignment="1">
      <alignment horizontal="left" vertical="center"/>
    </xf>
    <xf numFmtId="4" fontId="32" fillId="0" borderId="23" xfId="0" applyNumberFormat="1" applyFont="1" applyBorder="1" applyAlignment="1">
      <alignment horizontal="center"/>
    </xf>
    <xf numFmtId="2" fontId="31" fillId="33" borderId="10" xfId="0" applyNumberFormat="1" applyFont="1" applyFill="1" applyBorder="1" applyAlignment="1">
      <alignment horizontal="left" vertical="center" wrapText="1"/>
    </xf>
    <xf numFmtId="0" fontId="31" fillId="33" borderId="25" xfId="0" applyFont="1" applyFill="1" applyBorder="1" applyAlignment="1">
      <alignment horizontal="left" vertical="center"/>
    </xf>
    <xf numFmtId="4" fontId="0" fillId="0" borderId="30" xfId="0" applyNumberFormat="1" applyBorder="1" applyAlignment="1">
      <alignment/>
    </xf>
    <xf numFmtId="4" fontId="0" fillId="0" borderId="31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0" fontId="31" fillId="0" borderId="10" xfId="0" applyFont="1" applyFill="1" applyBorder="1" applyAlignment="1">
      <alignment horizontal="left" vertical="center"/>
    </xf>
    <xf numFmtId="4" fontId="0" fillId="0" borderId="0" xfId="0" applyNumberFormat="1" applyAlignment="1">
      <alignment wrapText="1"/>
    </xf>
    <xf numFmtId="0" fontId="37" fillId="0" borderId="32" xfId="0" applyFont="1" applyBorder="1" applyAlignment="1">
      <alignment/>
    </xf>
    <xf numFmtId="4" fontId="19" fillId="0" borderId="33" xfId="0" applyNumberFormat="1" applyFont="1" applyFill="1" applyBorder="1" applyAlignment="1">
      <alignment/>
    </xf>
    <xf numFmtId="0" fontId="19" fillId="0" borderId="0" xfId="0" applyFont="1" applyAlignment="1">
      <alignment/>
    </xf>
    <xf numFmtId="4" fontId="19" fillId="0" borderId="32" xfId="0" applyNumberFormat="1" applyFont="1" applyBorder="1" applyAlignment="1">
      <alignment/>
    </xf>
    <xf numFmtId="4" fontId="19" fillId="0" borderId="34" xfId="0" applyNumberFormat="1" applyFont="1" applyFill="1" applyBorder="1" applyAlignment="1">
      <alignment/>
    </xf>
    <xf numFmtId="4" fontId="0" fillId="0" borderId="11" xfId="0" applyNumberFormat="1" applyBorder="1" applyAlignment="1">
      <alignment/>
    </xf>
    <xf numFmtId="0" fontId="0" fillId="0" borderId="17" xfId="0" applyBorder="1" applyAlignment="1">
      <alignment/>
    </xf>
    <xf numFmtId="0" fontId="12" fillId="0" borderId="0" xfId="0" applyFont="1" applyAlignment="1">
      <alignment horizontal="right" vertical="distributed" wrapText="1"/>
    </xf>
    <xf numFmtId="0" fontId="12" fillId="0" borderId="0" xfId="0" applyNumberFormat="1" applyFont="1" applyFill="1" applyBorder="1" applyAlignment="1" applyProtection="1">
      <alignment horizontal="right" vertical="top"/>
      <protection/>
    </xf>
    <xf numFmtId="0" fontId="0" fillId="0" borderId="10" xfId="0" applyFont="1" applyFill="1" applyBorder="1" applyAlignment="1">
      <alignment horizontal="center" vertical="distributed"/>
    </xf>
    <xf numFmtId="0" fontId="0" fillId="0" borderId="10" xfId="0" applyFont="1" applyFill="1" applyBorder="1" applyAlignment="1">
      <alignment horizontal="center" vertical="distributed"/>
    </xf>
    <xf numFmtId="0" fontId="20" fillId="0" borderId="0" xfId="0" applyFont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justify"/>
      <protection/>
    </xf>
    <xf numFmtId="0" fontId="5" fillId="0" borderId="0" xfId="0" applyNumberFormat="1" applyFont="1" applyFill="1" applyBorder="1" applyAlignment="1" applyProtection="1">
      <alignment horizontal="center" vertical="justify"/>
      <protection/>
    </xf>
    <xf numFmtId="0" fontId="3" fillId="0" borderId="2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0" fontId="3" fillId="0" borderId="23" xfId="0" applyNumberFormat="1" applyFont="1" applyFill="1" applyBorder="1" applyAlignment="1">
      <alignment horizontal="center" vertical="center" wrapText="1"/>
    </xf>
    <xf numFmtId="10" fontId="3" fillId="0" borderId="12" xfId="0" applyNumberFormat="1" applyFont="1" applyFill="1" applyBorder="1" applyAlignment="1">
      <alignment horizontal="center" vertical="center" wrapText="1"/>
    </xf>
    <xf numFmtId="10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distributed" wrapText="1"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78" fontId="3" fillId="0" borderId="24" xfId="57" applyNumberFormat="1" applyFont="1" applyFill="1" applyBorder="1" applyAlignment="1" applyProtection="1">
      <alignment horizontal="center" vertical="top"/>
      <protection/>
    </xf>
    <xf numFmtId="10" fontId="3" fillId="0" borderId="24" xfId="0" applyNumberFormat="1" applyFont="1" applyFill="1" applyBorder="1" applyAlignment="1" applyProtection="1">
      <alignment horizontal="center" vertical="top"/>
      <protection/>
    </xf>
    <xf numFmtId="0" fontId="4" fillId="0" borderId="2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10" fontId="3" fillId="0" borderId="23" xfId="57" applyNumberFormat="1" applyFont="1" applyFill="1" applyBorder="1" applyAlignment="1">
      <alignment horizontal="center" vertical="center" wrapText="1"/>
    </xf>
    <xf numFmtId="10" fontId="3" fillId="0" borderId="12" xfId="57" applyNumberFormat="1" applyFont="1" applyFill="1" applyBorder="1" applyAlignment="1">
      <alignment horizontal="center" vertical="center" wrapText="1"/>
    </xf>
    <xf numFmtId="10" fontId="3" fillId="0" borderId="13" xfId="57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9" fontId="8" fillId="33" borderId="10" xfId="0" applyNumberFormat="1" applyFont="1" applyFill="1" applyBorder="1" applyAlignment="1" applyProtection="1">
      <alignment horizontal="center" vertical="top"/>
      <protection/>
    </xf>
    <xf numFmtId="179" fontId="8" fillId="0" borderId="23" xfId="0" applyNumberFormat="1" applyFont="1" applyFill="1" applyBorder="1" applyAlignment="1">
      <alignment horizontal="center"/>
    </xf>
    <xf numFmtId="179" fontId="8" fillId="0" borderId="13" xfId="0" applyNumberFormat="1" applyFont="1" applyFill="1" applyBorder="1" applyAlignment="1">
      <alignment horizontal="center"/>
    </xf>
    <xf numFmtId="181" fontId="10" fillId="33" borderId="24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justify"/>
      <protection/>
    </xf>
    <xf numFmtId="0" fontId="8" fillId="0" borderId="0" xfId="0" applyNumberFormat="1" applyFont="1" applyFill="1" applyBorder="1" applyAlignment="1" applyProtection="1">
      <alignment horizontal="center" vertical="justify"/>
      <protection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/>
    </xf>
    <xf numFmtId="2" fontId="8" fillId="33" borderId="23" xfId="0" applyNumberFormat="1" applyFont="1" applyFill="1" applyBorder="1" applyAlignment="1">
      <alignment horizontal="center" vertical="center"/>
    </xf>
    <xf numFmtId="2" fontId="8" fillId="33" borderId="13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/>
    </xf>
    <xf numFmtId="181" fontId="10" fillId="33" borderId="23" xfId="0" applyNumberFormat="1" applyFont="1" applyFill="1" applyBorder="1" applyAlignment="1">
      <alignment horizontal="center" vertical="center"/>
    </xf>
    <xf numFmtId="181" fontId="10" fillId="33" borderId="13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74" fontId="0" fillId="0" borderId="10" xfId="0" applyNumberFormat="1" applyBorder="1" applyAlignment="1">
      <alignment horizontal="center"/>
    </xf>
    <xf numFmtId="0" fontId="1" fillId="33" borderId="35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distributed" wrapText="1"/>
    </xf>
    <xf numFmtId="181" fontId="5" fillId="37" borderId="10" xfId="0" applyNumberFormat="1" applyFont="1" applyFill="1" applyBorder="1" applyAlignment="1" applyProtection="1">
      <alignment horizontal="left" vertical="top"/>
      <protection/>
    </xf>
    <xf numFmtId="4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4" fontId="5" fillId="37" borderId="36" xfId="0" applyNumberFormat="1" applyFont="1" applyFill="1" applyBorder="1" applyAlignment="1" applyProtection="1">
      <alignment horizontal="center" vertical="top"/>
      <protection/>
    </xf>
    <xf numFmtId="0" fontId="5" fillId="37" borderId="36" xfId="0" applyNumberFormat="1" applyFont="1" applyFill="1" applyBorder="1" applyAlignment="1" applyProtection="1">
      <alignment horizontal="center" vertical="top"/>
      <protection/>
    </xf>
    <xf numFmtId="4" fontId="5" fillId="42" borderId="10" xfId="0" applyNumberFormat="1" applyFont="1" applyFill="1" applyBorder="1" applyAlignment="1" applyProtection="1">
      <alignment horizontal="center" vertical="top"/>
      <protection/>
    </xf>
    <xf numFmtId="0" fontId="5" fillId="42" borderId="10" xfId="0" applyNumberFormat="1" applyFont="1" applyFill="1" applyBorder="1" applyAlignment="1" applyProtection="1">
      <alignment horizontal="center" vertical="top"/>
      <protection/>
    </xf>
    <xf numFmtId="179" fontId="5" fillId="0" borderId="0" xfId="0" applyNumberFormat="1" applyFont="1" applyFill="1" applyBorder="1" applyAlignment="1" applyProtection="1">
      <alignment horizontal="center" vertical="top"/>
      <protection/>
    </xf>
    <xf numFmtId="4" fontId="5" fillId="0" borderId="23" xfId="0" applyNumberFormat="1" applyFont="1" applyFill="1" applyBorder="1" applyAlignment="1" applyProtection="1">
      <alignment horizontal="center" vertical="top"/>
      <protection/>
    </xf>
    <xf numFmtId="4" fontId="5" fillId="0" borderId="13" xfId="0" applyNumberFormat="1" applyFont="1" applyFill="1" applyBorder="1" applyAlignment="1" applyProtection="1">
      <alignment horizontal="center" vertical="top"/>
      <protection/>
    </xf>
    <xf numFmtId="179" fontId="5" fillId="42" borderId="10" xfId="0" applyNumberFormat="1" applyFont="1" applyFill="1" applyBorder="1" applyAlignment="1" applyProtection="1">
      <alignment horizontal="center" vertical="top"/>
      <protection/>
    </xf>
    <xf numFmtId="4" fontId="5" fillId="38" borderId="23" xfId="0" applyNumberFormat="1" applyFont="1" applyFill="1" applyBorder="1" applyAlignment="1" applyProtection="1">
      <alignment horizontal="center" vertical="top"/>
      <protection/>
    </xf>
    <xf numFmtId="4" fontId="5" fillId="38" borderId="13" xfId="0" applyNumberFormat="1" applyFont="1" applyFill="1" applyBorder="1" applyAlignment="1" applyProtection="1">
      <alignment horizontal="center" vertical="top"/>
      <protection/>
    </xf>
    <xf numFmtId="179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38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4" fontId="1" fillId="0" borderId="23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7" fillId="0" borderId="23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179" fontId="5" fillId="0" borderId="39" xfId="0" applyNumberFormat="1" applyFont="1" applyFill="1" applyBorder="1" applyAlignment="1" applyProtection="1">
      <alignment horizontal="center" vertical="top"/>
      <protection/>
    </xf>
    <xf numFmtId="179" fontId="5" fillId="0" borderId="40" xfId="0" applyNumberFormat="1" applyFont="1" applyFill="1" applyBorder="1" applyAlignment="1" applyProtection="1">
      <alignment horizontal="center" vertical="top"/>
      <protection/>
    </xf>
    <xf numFmtId="179" fontId="5" fillId="0" borderId="28" xfId="0" applyNumberFormat="1" applyFont="1" applyFill="1" applyBorder="1" applyAlignment="1" applyProtection="1">
      <alignment horizontal="center" vertical="top"/>
      <protection/>
    </xf>
    <xf numFmtId="179" fontId="5" fillId="0" borderId="29" xfId="0" applyNumberFormat="1" applyFont="1" applyFill="1" applyBorder="1" applyAlignment="1" applyProtection="1">
      <alignment horizontal="center" vertical="top"/>
      <protection/>
    </xf>
    <xf numFmtId="179" fontId="5" fillId="0" borderId="38" xfId="0" applyNumberFormat="1" applyFont="1" applyFill="1" applyBorder="1" applyAlignment="1" applyProtection="1">
      <alignment horizontal="center" vertical="top"/>
      <protection/>
    </xf>
    <xf numFmtId="176" fontId="6" fillId="0" borderId="41" xfId="0" applyNumberFormat="1" applyFont="1" applyFill="1" applyBorder="1" applyAlignment="1" applyProtection="1">
      <alignment horizontal="center" vertical="top"/>
      <protection/>
    </xf>
    <xf numFmtId="176" fontId="6" fillId="0" borderId="42" xfId="0" applyNumberFormat="1" applyFont="1" applyFill="1" applyBorder="1" applyAlignment="1" applyProtection="1">
      <alignment horizontal="center" vertical="top"/>
      <protection/>
    </xf>
    <xf numFmtId="176" fontId="6" fillId="0" borderId="43" xfId="0" applyNumberFormat="1" applyFont="1" applyFill="1" applyBorder="1" applyAlignment="1" applyProtection="1">
      <alignment horizontal="center" vertical="top"/>
      <protection/>
    </xf>
    <xf numFmtId="176" fontId="6" fillId="0" borderId="44" xfId="0" applyNumberFormat="1" applyFont="1" applyFill="1" applyBorder="1" applyAlignment="1" applyProtection="1">
      <alignment horizontal="center" vertical="top"/>
      <protection/>
    </xf>
    <xf numFmtId="4" fontId="5" fillId="0" borderId="39" xfId="0" applyNumberFormat="1" applyFont="1" applyFill="1" applyBorder="1" applyAlignment="1" applyProtection="1">
      <alignment horizontal="center" vertical="top"/>
      <protection/>
    </xf>
    <xf numFmtId="4" fontId="5" fillId="0" borderId="45" xfId="0" applyNumberFormat="1" applyFont="1" applyFill="1" applyBorder="1" applyAlignment="1" applyProtection="1">
      <alignment horizontal="center" vertical="top"/>
      <protection/>
    </xf>
    <xf numFmtId="4" fontId="5" fillId="0" borderId="40" xfId="0" applyNumberFormat="1" applyFont="1" applyFill="1" applyBorder="1" applyAlignment="1" applyProtection="1">
      <alignment horizontal="center" vertical="top"/>
      <protection/>
    </xf>
    <xf numFmtId="0" fontId="5" fillId="0" borderId="28" xfId="0" applyNumberFormat="1" applyFont="1" applyFill="1" applyBorder="1" applyAlignment="1" applyProtection="1">
      <alignment horizontal="center" vertical="top"/>
      <protection/>
    </xf>
    <xf numFmtId="167" fontId="6" fillId="0" borderId="10" xfId="0" applyNumberFormat="1" applyFont="1" applyFill="1" applyBorder="1" applyAlignment="1" applyProtection="1">
      <alignment horizontal="center" vertical="top"/>
      <protection/>
    </xf>
    <xf numFmtId="167" fontId="6" fillId="0" borderId="38" xfId="0" applyNumberFormat="1" applyFont="1" applyFill="1" applyBorder="1" applyAlignment="1" applyProtection="1">
      <alignment horizontal="center" vertical="top"/>
      <protection/>
    </xf>
    <xf numFmtId="4" fontId="5" fillId="0" borderId="17" xfId="0" applyNumberFormat="1" applyFont="1" applyFill="1" applyBorder="1" applyAlignment="1" applyProtection="1">
      <alignment horizontal="center" vertical="top"/>
      <protection/>
    </xf>
    <xf numFmtId="0" fontId="5" fillId="0" borderId="17" xfId="0" applyNumberFormat="1" applyFont="1" applyFill="1" applyBorder="1" applyAlignment="1" applyProtection="1">
      <alignment horizontal="center" vertical="top"/>
      <protection/>
    </xf>
    <xf numFmtId="4" fontId="1" fillId="37" borderId="30" xfId="0" applyNumberFormat="1" applyFont="1" applyFill="1" applyBorder="1" applyAlignment="1">
      <alignment horizontal="center"/>
    </xf>
    <xf numFmtId="4" fontId="1" fillId="37" borderId="46" xfId="0" applyNumberFormat="1" applyFont="1" applyFill="1" applyBorder="1" applyAlignment="1">
      <alignment horizontal="center"/>
    </xf>
    <xf numFmtId="167" fontId="5" fillId="0" borderId="10" xfId="0" applyNumberFormat="1" applyFont="1" applyFill="1" applyBorder="1" applyAlignment="1" applyProtection="1">
      <alignment horizontal="center" vertical="top"/>
      <protection/>
    </xf>
    <xf numFmtId="167" fontId="5" fillId="0" borderId="38" xfId="0" applyNumberFormat="1" applyFont="1" applyFill="1" applyBorder="1" applyAlignment="1" applyProtection="1">
      <alignment horizontal="center" vertical="top"/>
      <protection/>
    </xf>
    <xf numFmtId="179" fontId="5" fillId="42" borderId="17" xfId="0" applyNumberFormat="1" applyFont="1" applyFill="1" applyBorder="1" applyAlignment="1" applyProtection="1">
      <alignment horizontal="center" vertical="top"/>
      <protection/>
    </xf>
    <xf numFmtId="0" fontId="5" fillId="42" borderId="17" xfId="0" applyNumberFormat="1" applyFont="1" applyFill="1" applyBorder="1" applyAlignment="1" applyProtection="1">
      <alignment horizontal="center" vertical="top"/>
      <protection/>
    </xf>
    <xf numFmtId="167" fontId="6" fillId="0" borderId="17" xfId="0" applyNumberFormat="1" applyFont="1" applyFill="1" applyBorder="1" applyAlignment="1" applyProtection="1">
      <alignment horizontal="center" vertical="top"/>
      <protection/>
    </xf>
    <xf numFmtId="167" fontId="6" fillId="0" borderId="47" xfId="0" applyNumberFormat="1" applyFont="1" applyFill="1" applyBorder="1" applyAlignment="1" applyProtection="1">
      <alignment horizontal="center" vertical="top"/>
      <protection/>
    </xf>
    <xf numFmtId="4" fontId="5" fillId="0" borderId="10" xfId="0" applyNumberFormat="1" applyFont="1" applyFill="1" applyBorder="1" applyAlignment="1" applyProtection="1">
      <alignment horizontal="center" vertical="top"/>
      <protection/>
    </xf>
    <xf numFmtId="0" fontId="6" fillId="0" borderId="27" xfId="0" applyNumberFormat="1" applyFont="1" applyFill="1" applyBorder="1" applyAlignment="1" applyProtection="1">
      <alignment horizontal="center" vertical="top"/>
      <protection/>
    </xf>
    <xf numFmtId="0" fontId="6" fillId="0" borderId="28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179" fontId="5" fillId="42" borderId="23" xfId="0" applyNumberFormat="1" applyFont="1" applyFill="1" applyBorder="1" applyAlignment="1" applyProtection="1">
      <alignment horizontal="center" vertical="top"/>
      <protection/>
    </xf>
    <xf numFmtId="179" fontId="5" fillId="42" borderId="12" xfId="0" applyNumberFormat="1" applyFont="1" applyFill="1" applyBorder="1" applyAlignment="1" applyProtection="1">
      <alignment horizontal="center" vertical="top"/>
      <protection/>
    </xf>
    <xf numFmtId="179" fontId="5" fillId="42" borderId="13" xfId="0" applyNumberFormat="1" applyFont="1" applyFill="1" applyBorder="1" applyAlignment="1" applyProtection="1">
      <alignment horizontal="center" vertical="top"/>
      <protection/>
    </xf>
    <xf numFmtId="179" fontId="5" fillId="39" borderId="23" xfId="0" applyNumberFormat="1" applyFont="1" applyFill="1" applyBorder="1" applyAlignment="1" applyProtection="1">
      <alignment horizontal="center" vertical="top"/>
      <protection/>
    </xf>
    <xf numFmtId="179" fontId="5" fillId="39" borderId="12" xfId="0" applyNumberFormat="1" applyFont="1" applyFill="1" applyBorder="1" applyAlignment="1" applyProtection="1">
      <alignment horizontal="center" vertical="top"/>
      <protection/>
    </xf>
    <xf numFmtId="179" fontId="5" fillId="39" borderId="13" xfId="0" applyNumberFormat="1" applyFont="1" applyFill="1" applyBorder="1" applyAlignment="1" applyProtection="1">
      <alignment horizontal="center" vertical="top"/>
      <protection/>
    </xf>
    <xf numFmtId="0" fontId="5" fillId="0" borderId="29" xfId="0" applyNumberFormat="1" applyFont="1" applyFill="1" applyBorder="1" applyAlignment="1" applyProtection="1">
      <alignment horizontal="center" vertical="top"/>
      <protection/>
    </xf>
    <xf numFmtId="179" fontId="5" fillId="0" borderId="23" xfId="0" applyNumberFormat="1" applyFont="1" applyFill="1" applyBorder="1" applyAlignment="1" applyProtection="1">
      <alignment horizontal="center" vertical="top"/>
      <protection/>
    </xf>
    <xf numFmtId="179" fontId="5" fillId="0" borderId="12" xfId="0" applyNumberFormat="1" applyFont="1" applyFill="1" applyBorder="1" applyAlignment="1" applyProtection="1">
      <alignment horizontal="center" vertical="top"/>
      <protection/>
    </xf>
    <xf numFmtId="179" fontId="5" fillId="0" borderId="13" xfId="0" applyNumberFormat="1" applyFont="1" applyFill="1" applyBorder="1" applyAlignment="1" applyProtection="1">
      <alignment horizontal="center" vertical="top"/>
      <protection/>
    </xf>
    <xf numFmtId="0" fontId="6" fillId="0" borderId="24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8" borderId="24" xfId="0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distributed"/>
    </xf>
    <xf numFmtId="0" fontId="3" fillId="0" borderId="48" xfId="0" applyFont="1" applyFill="1" applyBorder="1" applyAlignment="1">
      <alignment horizontal="center" vertical="distributed"/>
    </xf>
    <xf numFmtId="0" fontId="3" fillId="0" borderId="11" xfId="0" applyFont="1" applyFill="1" applyBorder="1" applyAlignment="1">
      <alignment horizontal="center" vertical="distributed"/>
    </xf>
    <xf numFmtId="0" fontId="4" fillId="0" borderId="17" xfId="0" applyFont="1" applyFill="1" applyBorder="1" applyAlignment="1">
      <alignment horizontal="center" vertical="distributed"/>
    </xf>
    <xf numFmtId="0" fontId="4" fillId="0" borderId="48" xfId="0" applyFont="1" applyFill="1" applyBorder="1" applyAlignment="1">
      <alignment horizontal="center" vertical="distributed"/>
    </xf>
    <xf numFmtId="0" fontId="4" fillId="0" borderId="11" xfId="0" applyFont="1" applyFill="1" applyBorder="1" applyAlignment="1">
      <alignment horizontal="center" vertical="distributed"/>
    </xf>
    <xf numFmtId="0" fontId="3" fillId="0" borderId="10" xfId="0" applyFont="1" applyBorder="1" applyAlignment="1">
      <alignment horizontal="center" vertical="center" wrapText="1"/>
    </xf>
    <xf numFmtId="186" fontId="3" fillId="36" borderId="10" xfId="0" applyNumberFormat="1" applyFont="1" applyFill="1" applyBorder="1" applyAlignment="1" applyProtection="1">
      <alignment horizontal="center" vertical="center"/>
      <protection/>
    </xf>
    <xf numFmtId="186" fontId="22" fillId="41" borderId="10" xfId="0" applyNumberFormat="1" applyFont="1" applyFill="1" applyBorder="1" applyAlignment="1" applyProtection="1">
      <alignment horizontal="center" vertical="center"/>
      <protection/>
    </xf>
    <xf numFmtId="186" fontId="6" fillId="41" borderId="10" xfId="0" applyNumberFormat="1" applyFont="1" applyFill="1" applyBorder="1" applyAlignment="1" applyProtection="1">
      <alignment horizontal="center" vertical="center"/>
      <protection/>
    </xf>
    <xf numFmtId="186" fontId="4" fillId="33" borderId="49" xfId="0" applyNumberFormat="1" applyFont="1" applyFill="1" applyBorder="1" applyAlignment="1" applyProtection="1">
      <alignment horizontal="center" vertical="center"/>
      <protection/>
    </xf>
    <xf numFmtId="186" fontId="4" fillId="33" borderId="50" xfId="0" applyNumberFormat="1" applyFont="1" applyFill="1" applyBorder="1" applyAlignment="1" applyProtection="1">
      <alignment horizontal="center" vertical="center"/>
      <protection/>
    </xf>
    <xf numFmtId="186" fontId="3" fillId="0" borderId="0" xfId="0" applyNumberFormat="1" applyFont="1" applyFill="1" applyBorder="1" applyAlignment="1" applyProtection="1">
      <alignment horizontal="center" vertical="distributed"/>
      <protection/>
    </xf>
    <xf numFmtId="177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186" fontId="21" fillId="33" borderId="18" xfId="0" applyNumberFormat="1" applyFont="1" applyFill="1" applyBorder="1" applyAlignment="1" applyProtection="1">
      <alignment horizontal="center" vertical="top"/>
      <protection/>
    </xf>
    <xf numFmtId="186" fontId="21" fillId="33" borderId="20" xfId="0" applyNumberFormat="1" applyFont="1" applyFill="1" applyBorder="1" applyAlignment="1" applyProtection="1">
      <alignment horizontal="center" vertical="top"/>
      <protection/>
    </xf>
    <xf numFmtId="0" fontId="8" fillId="0" borderId="2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4" fontId="3" fillId="0" borderId="13" xfId="0" applyNumberFormat="1" applyFont="1" applyFill="1" applyBorder="1" applyAlignment="1" applyProtection="1">
      <alignment horizontal="center" vertical="center" textRotation="90"/>
      <protection/>
    </xf>
    <xf numFmtId="194" fontId="24" fillId="38" borderId="0" xfId="0" applyNumberFormat="1" applyFont="1" applyFill="1" applyBorder="1" applyAlignment="1" applyProtection="1">
      <alignment horizontal="center" vertical="distributed"/>
      <protection/>
    </xf>
    <xf numFmtId="186" fontId="3" fillId="38" borderId="0" xfId="0" applyNumberFormat="1" applyFont="1" applyFill="1" applyBorder="1" applyAlignment="1" applyProtection="1">
      <alignment horizontal="center" vertical="distributed"/>
      <protection/>
    </xf>
    <xf numFmtId="0" fontId="11" fillId="0" borderId="10" xfId="0" applyFont="1" applyBorder="1" applyAlignment="1">
      <alignment horizontal="center" vertical="center"/>
    </xf>
    <xf numFmtId="194" fontId="3" fillId="33" borderId="10" xfId="0" applyNumberFormat="1" applyFont="1" applyFill="1" applyBorder="1" applyAlignment="1" applyProtection="1">
      <alignment horizontal="center" vertical="top"/>
      <protection/>
    </xf>
    <xf numFmtId="0" fontId="5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/>
    </xf>
    <xf numFmtId="0" fontId="2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textRotation="90"/>
    </xf>
    <xf numFmtId="0" fontId="6" fillId="0" borderId="48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5" fillId="0" borderId="2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4" fontId="0" fillId="0" borderId="0" xfId="0" applyNumberFormat="1" applyAlignment="1">
      <alignment horizontal="left" vertical="top" wrapText="1"/>
    </xf>
    <xf numFmtId="4" fontId="0" fillId="0" borderId="17" xfId="0" applyNumberFormat="1" applyBorder="1" applyAlignment="1">
      <alignment wrapText="1"/>
    </xf>
    <xf numFmtId="4" fontId="0" fillId="0" borderId="48" xfId="0" applyNumberFormat="1" applyBorder="1" applyAlignment="1">
      <alignment wrapText="1"/>
    </xf>
    <xf numFmtId="4" fontId="0" fillId="0" borderId="11" xfId="0" applyNumberFormat="1" applyBorder="1" applyAlignment="1">
      <alignment wrapText="1"/>
    </xf>
    <xf numFmtId="0" fontId="0" fillId="0" borderId="10" xfId="0" applyBorder="1" applyAlignment="1">
      <alignment wrapText="1"/>
    </xf>
    <xf numFmtId="0" fontId="36" fillId="0" borderId="0" xfId="0" applyFont="1" applyBorder="1" applyAlignment="1">
      <alignment horizontal="center" wrapText="1"/>
    </xf>
    <xf numFmtId="0" fontId="36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externalLink" Target="externalLinks/externalLink8.xml" /><Relationship Id="rId28" Type="http://schemas.openxmlformats.org/officeDocument/2006/relationships/externalLink" Target="externalLinks/externalLink9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2\_Work_Server2\Documents%20and%20Settings\Admin\&#1056;&#1072;&#1073;&#1086;&#1095;&#1080;&#1081;%20&#1089;&#1090;&#1086;&#1083;\&#1069;&#1050;&#1054;&#1053;&#1054;&#1052;&#1048;&#1050;&#1040;\&#1090;&#1088;&#1072;&#1085;&#1089;&#1087;&#1086;&#1088;&#1090;\&#1076;&#1086;&#1088;&#1086;&#1075;&#1080;\&#1057;&#1091;&#1073;&#1089;&#1080;&#1076;&#1080;&#1080;&#1044;&#1086;&#1088;&#1086;&#1075;&#1080;2013\2013\&#1042;%20&#1041;&#1086;&#1076;&#1078;&#1077;&#1090;&#1085;&#1099;&#1081;%20&#1086;&#1090;&#1076;&#1077;&#1083;\&#1042;&#1077;&#1088;&#1085;&#1099;&#1081;&#1054;&#1082;&#1086;&#1085;&#1095;&#1072;&#1090;&#1077;&#1083;&#1100;&#1085;&#1099;&#1081;%20&#1074;&#1072;&#1088;&#1080;&#1072;&#1085;&#1090;%20%20%202013%20&#1057;&#1086;&#1076;&#1077;&#1088;&#1078;&#1072;&#1085;&#1080;&#1077;%20%20%20&#1044;&#1054;&#1056;&#1054;&#1043;&#1048;%20&#1080;%20&#1052;&#1054;&#1057;&#1058;&#1067;%20&#1089;%20&#1091;&#1095;%20&#1051;&#1086;&#1081;&#1075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&#1099;&#1044;&#1086;&#1088;&#1060;&#1086;&#1085;&#1076;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0;&#1048;&#1053;%20&#1059;&#1055;&#1056;\&#1040;&#1082;&#1094;&#1080;&#1079;&#1099;%20&#1085;&#1072;%202016&#1075;.%20&#1053;&#1086;&#1088;&#1084;&#1072;&#1090;&#1080;&#1074;&#1099;%20&#1044;&#1060;-2016-2018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44;&#1054;&#1056;&#1054;&#1043;&#1048;\&#1044;&#1060;\&#1056;&#1072;&#1089;&#1095;&#1077;&#1090;&#1099;&#1044;&#1086;&#1088;&#1060;&#1086;&#1085;&#1076;20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76;&#1086;&#1088;&#1086;&#1075;&#1080;\&#1044;&#1060;\&#1044;&#1060;2014\&#1056;&#1072;&#1089;&#1095;&#1077;&#1090;&#1099;&#1044;&#1086;&#1088;&#1060;&#1086;&#1085;&#1076;2014(&#1087;&#1088;&#1072;&#1074;&#1082;&#1072;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44;&#1054;&#1056;&#1054;&#1043;&#1048;\&#1044;&#1060;\&#1044;&#1060;2015\&#1056;&#1072;&#1089;&#1095;&#1077;&#1090;%20&#1080;&#1089;&#1090;&#1086;&#1095;&#1085;&#1080;&#1082;&#1086;&#1074;%20&#1044;&#1060;+&#1051;&#1086;&#1081;&#1075;&#1072;+&#1048;&#1083;&#1077;&#1079;&#107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76;&#1086;&#1088;&#1086;&#1075;&#1080;\&#1044;&#1060;\&#1044;&#1060;2014\&#1048;&#1089;&#1087;&#1086;&#1083;&#1085;&#1077;&#1085;&#1080;&#1077;%20&#1089;&#1086;&#1075;&#1083;&#1072;&#1096;&#1077;&#1085;&#1080;&#1081;%20(&#1076;&#1086;&#1088;&#1086;&#1075;&#1080;)%20&#1079;&#1072;%202014&#1075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76;&#1086;&#1088;&#1086;&#1075;&#1080;\&#1044;&#1060;\&#1044;&#1060;2015\&#1087;&#1088;&#1072;&#1074;&#1082;&#1072;&#1044;&#1060;+1600\&#1050;&#1086;&#1087;&#1080;&#1103;%2002.10.2015\&#1055;&#1088;&#1080;&#1083;&#1086;&#1078;&#1077;&#1085;&#1080;&#1077;%20&#8470;5(&#1074;&#1077;&#1088;&#1089;&#1080;&#1103;&#1060;&#1059;)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82;&#1094;&#1080;&#1079;&#1099;%20&#1085;&#1072;%202016&#1075;.%20&#1053;&#1086;&#1088;&#1084;&#1072;&#1090;&#1080;&#1074;&#1099;%20&#1044;&#1060;-2016-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ОСТЫ"/>
      <sheetName val="СОДЕРЖАНИЕ  дорог  Суб №3  (2)"/>
    </sheetNames>
    <sheetDataSet>
      <sheetData sheetId="2">
        <row r="7">
          <cell r="AC7">
            <v>1050032.12</v>
          </cell>
          <cell r="AH7">
            <v>142008</v>
          </cell>
        </row>
        <row r="8">
          <cell r="AC8">
            <v>314247.76</v>
          </cell>
          <cell r="AH8">
            <v>18827.199999999997</v>
          </cell>
        </row>
        <row r="9">
          <cell r="AC9">
            <v>288283.6</v>
          </cell>
          <cell r="AH9">
            <v>221352</v>
          </cell>
        </row>
        <row r="10">
          <cell r="AC10">
            <v>162408.32</v>
          </cell>
          <cell r="AH10">
            <v>51376</v>
          </cell>
        </row>
        <row r="11">
          <cell r="AC11">
            <v>279532.04000000004</v>
          </cell>
          <cell r="AH11">
            <v>261080</v>
          </cell>
        </row>
        <row r="12">
          <cell r="AC12">
            <v>276448.36</v>
          </cell>
          <cell r="AH12">
            <v>0</v>
          </cell>
        </row>
        <row r="13">
          <cell r="AC13">
            <v>199032</v>
          </cell>
          <cell r="AH13">
            <v>109856</v>
          </cell>
        </row>
        <row r="14">
          <cell r="AC14">
            <v>215285.2</v>
          </cell>
          <cell r="AH14">
            <v>63928</v>
          </cell>
        </row>
        <row r="15">
          <cell r="AC15">
            <v>230280.60000000003</v>
          </cell>
          <cell r="AH15">
            <v>314705.52</v>
          </cell>
        </row>
        <row r="16">
          <cell r="AC16">
            <v>105109.56</v>
          </cell>
          <cell r="AH16">
            <v>6832</v>
          </cell>
        </row>
        <row r="17">
          <cell r="AC17">
            <v>232982.52</v>
          </cell>
          <cell r="AH17">
            <v>104976</v>
          </cell>
        </row>
        <row r="18">
          <cell r="AC18">
            <v>277789.48</v>
          </cell>
          <cell r="AH18">
            <v>437120</v>
          </cell>
        </row>
        <row r="19">
          <cell r="AC19">
            <v>132096</v>
          </cell>
          <cell r="AH19">
            <v>62304</v>
          </cell>
        </row>
        <row r="20">
          <cell r="AC20">
            <v>220830.12</v>
          </cell>
          <cell r="AH20">
            <v>306808</v>
          </cell>
        </row>
        <row r="21">
          <cell r="AC21">
            <v>119692.8</v>
          </cell>
          <cell r="AH21">
            <v>12200</v>
          </cell>
        </row>
        <row r="22">
          <cell r="AC22">
            <v>603641.8</v>
          </cell>
          <cell r="AH22">
            <v>164089.59999999998</v>
          </cell>
        </row>
        <row r="25">
          <cell r="AW25">
            <v>6985156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"/>
      <sheetName val="МостыТрубопереходы"/>
      <sheetName val="Зимники"/>
      <sheetName val="Ремонт"/>
      <sheetName val="РасчетРайону"/>
      <sheetName val="Лист1"/>
    </sheetNames>
    <sheetDataSet>
      <sheetData sheetId="8">
        <row r="11">
          <cell r="E11">
            <v>2505208</v>
          </cell>
        </row>
        <row r="13">
          <cell r="E13">
            <v>2576076</v>
          </cell>
        </row>
        <row r="14">
          <cell r="E14">
            <v>1000000</v>
          </cell>
        </row>
        <row r="15">
          <cell r="E15">
            <v>200000</v>
          </cell>
        </row>
        <row r="16">
          <cell r="E16">
            <v>1001516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1"/>
    </sheetNames>
    <sheetDataSet>
      <sheetData sheetId="0">
        <row r="211">
          <cell r="O211">
            <v>408.8022199999999</v>
          </cell>
          <cell r="R211">
            <v>0.7758946967205996</v>
          </cell>
        </row>
        <row r="212">
          <cell r="L212">
            <v>2.6000000000000014</v>
          </cell>
          <cell r="M212">
            <v>56.31632999999999</v>
          </cell>
          <cell r="N212">
            <v>76.79446999999999</v>
          </cell>
          <cell r="O212">
            <v>135.71079999999998</v>
          </cell>
          <cell r="R212">
            <v>0.25757514234563095</v>
          </cell>
        </row>
        <row r="213">
          <cell r="R213">
            <v>0.038007131974693166</v>
          </cell>
        </row>
        <row r="214">
          <cell r="R214">
            <v>0.032121448451941134</v>
          </cell>
        </row>
        <row r="215">
          <cell r="R215">
            <v>0.01810182105709908</v>
          </cell>
        </row>
        <row r="216">
          <cell r="R216">
            <v>0.031153673115843813</v>
          </cell>
        </row>
        <row r="217">
          <cell r="R217">
            <v>0.031086257191273937</v>
          </cell>
        </row>
        <row r="218">
          <cell r="R218">
            <v>0.02217961142698555</v>
          </cell>
        </row>
        <row r="219">
          <cell r="R219">
            <v>0.023995551976252468</v>
          </cell>
        </row>
        <row r="220">
          <cell r="R220">
            <v>0.02671314255722441</v>
          </cell>
        </row>
        <row r="221">
          <cell r="R221">
            <v>0.10385301709854228</v>
          </cell>
        </row>
        <row r="222">
          <cell r="R222">
            <v>0.011712302192671437</v>
          </cell>
        </row>
        <row r="223">
          <cell r="R223">
            <v>0.02596029344011053</v>
          </cell>
        </row>
        <row r="224">
          <cell r="R224">
            <v>0.03213818855483266</v>
          </cell>
        </row>
        <row r="225">
          <cell r="R225">
            <v>0.014717625154408942</v>
          </cell>
        </row>
        <row r="226">
          <cell r="R226">
            <v>0.02460525613190633</v>
          </cell>
        </row>
        <row r="227">
          <cell r="R227">
            <v>0.014696595637397846</v>
          </cell>
        </row>
        <row r="228">
          <cell r="R228">
            <v>0.06727763841378512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"/>
      <sheetName val="МостыТрубопереходы"/>
      <sheetName val="Зимники"/>
      <sheetName val="Ремонт"/>
      <sheetName val="РасчетРайону"/>
      <sheetName val="Лист1"/>
    </sheetNames>
    <sheetDataSet>
      <sheetData sheetId="0">
        <row r="12">
          <cell r="D12">
            <v>427612</v>
          </cell>
        </row>
        <row r="15">
          <cell r="F15">
            <v>1610000</v>
          </cell>
        </row>
      </sheetData>
      <sheetData sheetId="3">
        <row r="65">
          <cell r="D65">
            <v>2494900</v>
          </cell>
        </row>
      </sheetData>
      <sheetData sheetId="4">
        <row r="9">
          <cell r="E9">
            <v>170103</v>
          </cell>
        </row>
        <row r="10">
          <cell r="E10">
            <v>20891</v>
          </cell>
        </row>
        <row r="11">
          <cell r="E11">
            <v>247322</v>
          </cell>
        </row>
        <row r="12">
          <cell r="E12">
            <v>54768</v>
          </cell>
        </row>
        <row r="13">
          <cell r="E13">
            <v>427612</v>
          </cell>
        </row>
        <row r="15">
          <cell r="E15">
            <v>117736</v>
          </cell>
        </row>
        <row r="16">
          <cell r="E16">
            <v>67729</v>
          </cell>
        </row>
        <row r="17">
          <cell r="E17">
            <v>347060</v>
          </cell>
        </row>
        <row r="18">
          <cell r="E18">
            <v>7238</v>
          </cell>
        </row>
        <row r="19">
          <cell r="E19">
            <v>87893</v>
          </cell>
        </row>
        <row r="20">
          <cell r="E20">
            <v>417139</v>
          </cell>
        </row>
        <row r="21">
          <cell r="E21">
            <v>68031</v>
          </cell>
        </row>
        <row r="22">
          <cell r="E22">
            <v>318527</v>
          </cell>
        </row>
        <row r="23">
          <cell r="E23">
            <v>12925</v>
          </cell>
        </row>
        <row r="24">
          <cell r="E24">
            <v>140234</v>
          </cell>
        </row>
        <row r="30">
          <cell r="G30">
            <v>7003.649217321745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"/>
      <sheetName val="МостыТрубопереходы"/>
      <sheetName val="Зимники"/>
      <sheetName val="Ремонт"/>
      <sheetName val="РасчетРайону"/>
      <sheetName val="Нормативы"/>
      <sheetName val="Лист1"/>
    </sheetNames>
    <sheetDataSet>
      <sheetData sheetId="0">
        <row r="12">
          <cell r="D12">
            <v>427612</v>
          </cell>
        </row>
      </sheetData>
      <sheetData sheetId="4">
        <row r="16">
          <cell r="E16">
            <v>67729</v>
          </cell>
        </row>
      </sheetData>
      <sheetData sheetId="6">
        <row r="9">
          <cell r="M9">
            <v>2172373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Диф.нормативыАкциз+ТрНалог"/>
      <sheetName val="Мероприятия"/>
      <sheetName val="Расчет"/>
      <sheetName val="Лойга"/>
      <sheetName val="Изеза"/>
      <sheetName val="Лойга2"/>
    </sheetNames>
    <sheetDataSet>
      <sheetData sheetId="3">
        <row r="12">
          <cell r="D12">
            <v>2038.04775</v>
          </cell>
        </row>
        <row r="14">
          <cell r="E14">
            <v>828.234</v>
          </cell>
        </row>
        <row r="17">
          <cell r="E17">
            <v>222.45693</v>
          </cell>
        </row>
        <row r="30">
          <cell r="D30">
            <v>96258.8</v>
          </cell>
        </row>
        <row r="32">
          <cell r="D32">
            <v>99000</v>
          </cell>
        </row>
        <row r="33">
          <cell r="D33">
            <v>99000</v>
          </cell>
        </row>
        <row r="35">
          <cell r="D35">
            <v>43554.2</v>
          </cell>
        </row>
        <row r="36">
          <cell r="D36">
            <v>99664.8</v>
          </cell>
        </row>
        <row r="37">
          <cell r="D37">
            <v>58835.25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 Янв-декабрь"/>
      <sheetName val="отчет по ДФ "/>
      <sheetName val="финансирование"/>
      <sheetName val="РЕЕСТР  Янв-сентябрь (2)"/>
      <sheetName val="Лист1 рабочий"/>
      <sheetName val="Лист1 (2)"/>
      <sheetName val="ИсполнениеСоглашений"/>
      <sheetName val="Лист1"/>
    </sheetNames>
    <sheetDataSet>
      <sheetData sheetId="6">
        <row r="9">
          <cell r="E9">
            <v>1613294.6600000001</v>
          </cell>
          <cell r="H9">
            <v>517870.4799999999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межселенческие"/>
      <sheetName val="по направлениям"/>
      <sheetName val="Лист2"/>
      <sheetName val="Лист3"/>
    </sheetNames>
    <sheetDataSet>
      <sheetData sheetId="0">
        <row r="11">
          <cell r="G11">
            <v>241109.82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1"/>
    </sheetNames>
    <sheetDataSet>
      <sheetData sheetId="0">
        <row r="212">
          <cell r="R212">
            <v>0.25757514234563095</v>
          </cell>
        </row>
        <row r="213">
          <cell r="R213">
            <v>0.038007131974693166</v>
          </cell>
        </row>
        <row r="214">
          <cell r="R214">
            <v>0.032121448451941134</v>
          </cell>
        </row>
        <row r="215">
          <cell r="R215">
            <v>0.01810182105709908</v>
          </cell>
        </row>
        <row r="216">
          <cell r="R216">
            <v>0.031153673115843813</v>
          </cell>
        </row>
        <row r="217">
          <cell r="R217">
            <v>0.031086257191273937</v>
          </cell>
        </row>
        <row r="218">
          <cell r="R218">
            <v>0.02217961142698555</v>
          </cell>
        </row>
        <row r="219">
          <cell r="R219">
            <v>0.023995551976252468</v>
          </cell>
        </row>
        <row r="220">
          <cell r="R220">
            <v>0.02671314255722441</v>
          </cell>
        </row>
        <row r="221">
          <cell r="R221">
            <v>0.10385301709854228</v>
          </cell>
        </row>
        <row r="222">
          <cell r="R222">
            <v>0.011712302192671437</v>
          </cell>
        </row>
        <row r="223">
          <cell r="R223">
            <v>0.02596029344011053</v>
          </cell>
        </row>
        <row r="224">
          <cell r="R224">
            <v>0.03213818855483266</v>
          </cell>
        </row>
        <row r="225">
          <cell r="R225">
            <v>0.014717625154408942</v>
          </cell>
        </row>
        <row r="226">
          <cell r="R226">
            <v>0.02460525613190633</v>
          </cell>
        </row>
        <row r="227">
          <cell r="R227">
            <v>0.014696595637397846</v>
          </cell>
        </row>
        <row r="228">
          <cell r="R228">
            <v>0.06727763841378512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90" zoomScaleSheetLayoutView="90" zoomScalePageLayoutView="0" workbookViewId="0" topLeftCell="A1">
      <selection activeCell="D34" sqref="D34"/>
    </sheetView>
  </sheetViews>
  <sheetFormatPr defaultColWidth="9.00390625" defaultRowHeight="12.75"/>
  <cols>
    <col min="1" max="3" width="23.625" style="165" customWidth="1"/>
    <col min="4" max="5" width="22.875" style="165" customWidth="1"/>
    <col min="6" max="6" width="21.125" style="165" customWidth="1"/>
    <col min="7" max="7" width="24.375" style="165" customWidth="1"/>
    <col min="8" max="8" width="22.875" style="165" customWidth="1"/>
    <col min="9" max="9" width="21.125" style="165" customWidth="1"/>
    <col min="10" max="16384" width="9.125" style="165" customWidth="1"/>
  </cols>
  <sheetData>
    <row r="1" spans="1:8" ht="12.75" customHeight="1">
      <c r="A1" s="442"/>
      <c r="B1" s="442"/>
      <c r="C1" s="442"/>
      <c r="D1" s="442"/>
      <c r="E1" s="442"/>
      <c r="F1" s="442"/>
      <c r="G1" s="442"/>
      <c r="H1" s="442"/>
    </row>
    <row r="2" spans="1:8" ht="12.75" customHeight="1">
      <c r="A2" s="442"/>
      <c r="B2" s="442"/>
      <c r="C2" s="442"/>
      <c r="D2" s="442"/>
      <c r="E2" s="442"/>
      <c r="F2" s="442"/>
      <c r="G2" s="442"/>
      <c r="H2" s="442"/>
    </row>
    <row r="3" spans="1:8" ht="12.75">
      <c r="A3" s="443"/>
      <c r="B3" s="443"/>
      <c r="C3" s="443"/>
      <c r="D3" s="443"/>
      <c r="E3" s="443"/>
      <c r="F3" s="443"/>
      <c r="G3" s="443"/>
      <c r="H3" s="443"/>
    </row>
    <row r="4" spans="1:8" s="166" customFormat="1" ht="6.75" customHeight="1">
      <c r="A4" s="1"/>
      <c r="B4" s="1"/>
      <c r="C4" s="1"/>
      <c r="D4" s="1"/>
      <c r="E4" s="1"/>
      <c r="F4" s="1"/>
      <c r="G4" s="1"/>
      <c r="H4" s="1"/>
    </row>
    <row r="5" spans="1:8" s="167" customFormat="1" ht="46.5" customHeight="1">
      <c r="A5" s="446" t="s">
        <v>227</v>
      </c>
      <c r="B5" s="446"/>
      <c r="C5" s="446"/>
      <c r="D5" s="446"/>
      <c r="E5" s="446"/>
      <c r="F5" s="446"/>
      <c r="G5" s="446"/>
      <c r="H5" s="446"/>
    </row>
    <row r="6" spans="1:9" ht="16.5" customHeight="1">
      <c r="A6" s="444" t="str">
        <f>ДифНорматив!B6</f>
        <v>Наименование муниципального образования</v>
      </c>
      <c r="B6" s="444" t="s">
        <v>91</v>
      </c>
      <c r="C6" s="447" t="s">
        <v>90</v>
      </c>
      <c r="D6" s="448"/>
      <c r="E6" s="448"/>
      <c r="F6" s="448"/>
      <c r="G6" s="448"/>
      <c r="H6" s="448"/>
      <c r="I6" s="449"/>
    </row>
    <row r="7" spans="1:9" ht="159" customHeight="1">
      <c r="A7" s="445"/>
      <c r="B7" s="445"/>
      <c r="C7" s="163" t="s">
        <v>106</v>
      </c>
      <c r="D7" s="263" t="s">
        <v>140</v>
      </c>
      <c r="E7" s="263" t="s">
        <v>141</v>
      </c>
      <c r="F7" s="175" t="s">
        <v>92</v>
      </c>
      <c r="G7" s="163" t="s">
        <v>99</v>
      </c>
      <c r="H7" s="177" t="s">
        <v>109</v>
      </c>
      <c r="I7" s="176" t="s">
        <v>97</v>
      </c>
    </row>
    <row r="8" spans="1:10" ht="22.5" customHeight="1">
      <c r="A8" s="168" t="str">
        <f>ДифНорматив!B9</f>
        <v>МО "Октябрьское"</v>
      </c>
      <c r="B8" s="164">
        <f>SUM(C8:I8)</f>
        <v>193800</v>
      </c>
      <c r="C8" s="164">
        <f>ТранспНалогМО!D9</f>
        <v>0</v>
      </c>
      <c r="D8" s="173">
        <f>СодержаниеМежп!E9</f>
        <v>193800</v>
      </c>
      <c r="E8" s="264"/>
      <c r="F8" s="164"/>
      <c r="G8" s="164"/>
      <c r="H8" s="164"/>
      <c r="I8" s="169"/>
      <c r="J8" s="172">
        <f>D8-СодержаниеМежп!E9</f>
        <v>0</v>
      </c>
    </row>
    <row r="9" spans="1:10" ht="22.5" customHeight="1">
      <c r="A9" s="168" t="str">
        <f>ДифНорматив!B10</f>
        <v>МО "Березницкое"</v>
      </c>
      <c r="B9" s="164">
        <f aca="true" t="shared" si="0" ref="B9:B24">SUM(C9:I9)</f>
        <v>1215400</v>
      </c>
      <c r="C9" s="164"/>
      <c r="D9" s="164">
        <f>СодержаниеМежп!E10</f>
        <v>22400</v>
      </c>
      <c r="E9" s="164">
        <f>СодержаниеПосел!L3</f>
        <v>1193000</v>
      </c>
      <c r="F9" s="164"/>
      <c r="G9" s="164"/>
      <c r="H9" s="164"/>
      <c r="I9" s="169"/>
      <c r="J9" s="172">
        <f>D9-СодержаниеМежп!E10</f>
        <v>0</v>
      </c>
    </row>
    <row r="10" spans="1:10" ht="22.5" customHeight="1">
      <c r="A10" s="168" t="str">
        <f>ДифНорматив!B11</f>
        <v>МО "Бестужевское"</v>
      </c>
      <c r="B10" s="164">
        <f t="shared" si="0"/>
        <v>1271800</v>
      </c>
      <c r="C10" s="164"/>
      <c r="D10" s="164">
        <f>СодержаниеМежп!E11</f>
        <v>263800</v>
      </c>
      <c r="E10" s="164">
        <f>СодержаниеПосел!L4</f>
        <v>1008000</v>
      </c>
      <c r="F10" s="164"/>
      <c r="G10" s="164"/>
      <c r="H10" s="164"/>
      <c r="I10" s="169"/>
      <c r="J10" s="172">
        <f>D10-СодержаниеМежп!E11</f>
        <v>0</v>
      </c>
    </row>
    <row r="11" spans="1:10" ht="22.5" customHeight="1">
      <c r="A11" s="168" t="str">
        <f>ДифНорматив!B12</f>
        <v>МО "Дмитриевское"</v>
      </c>
      <c r="B11" s="164">
        <f t="shared" si="0"/>
        <v>629300</v>
      </c>
      <c r="C11" s="164"/>
      <c r="D11" s="164">
        <f>СодержаниеМежп!E12</f>
        <v>61300</v>
      </c>
      <c r="E11" s="164">
        <f>СодержаниеПосел!L5</f>
        <v>568000</v>
      </c>
      <c r="F11" s="164"/>
      <c r="G11" s="164"/>
      <c r="H11" s="164"/>
      <c r="I11" s="169"/>
      <c r="J11" s="172">
        <f>D11-СодержаниеМежп!E12</f>
        <v>0</v>
      </c>
    </row>
    <row r="12" spans="1:10" ht="22.5" customHeight="1">
      <c r="A12" s="168" t="str">
        <f>ДифНорматив!B13</f>
        <v>МО "Илезское"</v>
      </c>
      <c r="B12" s="164">
        <f t="shared" si="0"/>
        <v>2127768.999999985</v>
      </c>
      <c r="C12" s="164"/>
      <c r="D12" s="164">
        <f>СодержаниеМежп!E13</f>
        <v>477300</v>
      </c>
      <c r="E12" s="164">
        <f>СодержаниеПосел!L6</f>
        <v>978000</v>
      </c>
      <c r="F12" s="164"/>
      <c r="G12" s="164">
        <f>Зимники!L10</f>
        <v>672468.9999999851</v>
      </c>
      <c r="H12" s="164"/>
      <c r="I12" s="169"/>
      <c r="J12" s="172">
        <f>D12-СодержаниеМежп!E13</f>
        <v>0</v>
      </c>
    </row>
    <row r="13" spans="1:10" ht="22.5" customHeight="1">
      <c r="A13" s="168" t="str">
        <f>ДифНорматив!B14</f>
        <v>МО "Киземское"</v>
      </c>
      <c r="B13" s="164">
        <f t="shared" si="0"/>
        <v>976000</v>
      </c>
      <c r="C13" s="164"/>
      <c r="D13" s="164">
        <f>СодержаниеМежп!E14</f>
        <v>0</v>
      </c>
      <c r="E13" s="164">
        <f>СодержаниеПосел!L7</f>
        <v>976000</v>
      </c>
      <c r="F13" s="164"/>
      <c r="G13" s="164"/>
      <c r="H13" s="164"/>
      <c r="I13" s="169"/>
      <c r="J13" s="172">
        <f>D13-СодержаниеМежп!E14</f>
        <v>0</v>
      </c>
    </row>
    <row r="14" spans="1:10" ht="22.5" customHeight="1">
      <c r="A14" s="168" t="str">
        <f>ДифНорматив!B15</f>
        <v>МО "Лихачевское"</v>
      </c>
      <c r="B14" s="164">
        <f t="shared" si="0"/>
        <v>827000</v>
      </c>
      <c r="C14" s="164"/>
      <c r="D14" s="164">
        <f>СодержаниеМежп!E15</f>
        <v>131000</v>
      </c>
      <c r="E14" s="164">
        <f>СодержаниеПосел!L8</f>
        <v>696000</v>
      </c>
      <c r="F14" s="164"/>
      <c r="G14" s="164"/>
      <c r="H14" s="164"/>
      <c r="I14" s="169"/>
      <c r="J14" s="172">
        <f>D14-СодержаниеМежп!E15</f>
        <v>0</v>
      </c>
    </row>
    <row r="15" spans="1:10" ht="22.5" customHeight="1">
      <c r="A15" s="168" t="str">
        <f>ДифНорматив!B16</f>
        <v>МО "Лойгинское"</v>
      </c>
      <c r="B15" s="164">
        <f t="shared" si="0"/>
        <v>3395450</v>
      </c>
      <c r="C15" s="164"/>
      <c r="D15" s="164">
        <f>СодержаниеМежп!E16</f>
        <v>76200</v>
      </c>
      <c r="E15" s="164">
        <f>СодержаниеПосел!L9</f>
        <v>753000</v>
      </c>
      <c r="F15" s="164">
        <f>Мосты!K8</f>
        <v>1876250</v>
      </c>
      <c r="G15" s="164">
        <f>Зимники!L9</f>
        <v>690000</v>
      </c>
      <c r="H15" s="164"/>
      <c r="I15" s="169"/>
      <c r="J15" s="172">
        <f>D15-СодержаниеМежп!E16</f>
        <v>0</v>
      </c>
    </row>
    <row r="16" spans="1:10" ht="22.5" customHeight="1">
      <c r="A16" s="168" t="str">
        <f>ДифНорматив!B17</f>
        <v>МО "Малодорское"</v>
      </c>
      <c r="B16" s="164">
        <f t="shared" si="0"/>
        <v>1213800</v>
      </c>
      <c r="C16" s="164"/>
      <c r="D16" s="164">
        <f>СодержаниеМежп!E17</f>
        <v>374800</v>
      </c>
      <c r="E16" s="164">
        <f>СодержаниеПосел!L10</f>
        <v>839000</v>
      </c>
      <c r="F16" s="164">
        <f>МостыТрубопереходы!K9</f>
        <v>0</v>
      </c>
      <c r="G16" s="164"/>
      <c r="H16" s="164"/>
      <c r="I16" s="169"/>
      <c r="J16" s="172">
        <f>D16-СодержаниеМежп!E17</f>
        <v>0</v>
      </c>
    </row>
    <row r="17" spans="1:10" ht="22.5" customHeight="1">
      <c r="A17" s="168" t="str">
        <f>ДифНорматив!B18</f>
        <v>МО "Орловское"</v>
      </c>
      <c r="B17" s="164">
        <f t="shared" si="0"/>
        <v>376100</v>
      </c>
      <c r="C17" s="164"/>
      <c r="D17" s="164">
        <f>СодержаниеМежп!E18</f>
        <v>8100</v>
      </c>
      <c r="E17" s="164">
        <f>СодержаниеПосел!L11</f>
        <v>368000</v>
      </c>
      <c r="F17" s="164"/>
      <c r="G17" s="164"/>
      <c r="H17" s="164"/>
      <c r="I17" s="169"/>
      <c r="J17" s="172">
        <f>D17-СодержаниеМежп!E18</f>
        <v>0</v>
      </c>
    </row>
    <row r="18" spans="1:10" ht="22.5" customHeight="1">
      <c r="A18" s="168" t="str">
        <f>ДифНорматив!B19</f>
        <v>МО "Плосское"</v>
      </c>
      <c r="B18" s="164">
        <f t="shared" si="0"/>
        <v>913900</v>
      </c>
      <c r="C18" s="164"/>
      <c r="D18" s="164">
        <f>СодержаниеМежп!E19</f>
        <v>98900</v>
      </c>
      <c r="E18" s="164">
        <f>СодержаниеПосел!L12</f>
        <v>815000</v>
      </c>
      <c r="F18" s="164"/>
      <c r="G18" s="164"/>
      <c r="H18" s="164"/>
      <c r="I18" s="169"/>
      <c r="J18" s="172">
        <f>D18-СодержаниеМежп!E19</f>
        <v>0</v>
      </c>
    </row>
    <row r="19" spans="1:10" ht="22.5" customHeight="1">
      <c r="A19" s="168" t="str">
        <f>ДифНорматив!B20</f>
        <v>МО "Ростовско - Минское"</v>
      </c>
      <c r="B19" s="164">
        <f t="shared" si="0"/>
        <v>1472000</v>
      </c>
      <c r="C19" s="164"/>
      <c r="D19" s="164">
        <f>СодержаниеМежп!E20</f>
        <v>463000</v>
      </c>
      <c r="E19" s="164">
        <f>СодержаниеПосел!L13</f>
        <v>1009000</v>
      </c>
      <c r="F19" s="164">
        <f>МостыТрубопереходы!K10+МостыТрубопереходы!K11</f>
        <v>0</v>
      </c>
      <c r="G19" s="164"/>
      <c r="H19" s="164"/>
      <c r="I19" s="169"/>
      <c r="J19" s="172">
        <f>D19-СодержаниеМежп!E20</f>
        <v>0</v>
      </c>
    </row>
    <row r="20" spans="1:10" ht="22.5" customHeight="1">
      <c r="A20" s="168" t="str">
        <f>ДифНорматив!B21</f>
        <v>МО "Синицкое"</v>
      </c>
      <c r="B20" s="164">
        <f t="shared" si="0"/>
        <v>536300</v>
      </c>
      <c r="C20" s="164"/>
      <c r="D20" s="164">
        <f>СодержаниеМежп!E21</f>
        <v>74300</v>
      </c>
      <c r="E20" s="164">
        <f>СодержаниеПосел!L14</f>
        <v>462000</v>
      </c>
      <c r="F20" s="164"/>
      <c r="G20" s="164"/>
      <c r="H20" s="164"/>
      <c r="I20" s="169"/>
      <c r="J20" s="172">
        <f>D20-СодержаниеМежп!E21</f>
        <v>0</v>
      </c>
    </row>
    <row r="21" spans="1:10" ht="22.5" customHeight="1">
      <c r="A21" s="168" t="str">
        <f>ДифНорматив!B22</f>
        <v>МО "Строевское"</v>
      </c>
      <c r="B21" s="164">
        <f t="shared" si="0"/>
        <v>1114500</v>
      </c>
      <c r="C21" s="164"/>
      <c r="D21" s="164">
        <f>СодержаниеМежп!E22</f>
        <v>342500</v>
      </c>
      <c r="E21" s="164">
        <f>СодержаниеПосел!L15</f>
        <v>772000</v>
      </c>
      <c r="F21" s="164">
        <f>МостыТрубопереходы!K8</f>
        <v>0</v>
      </c>
      <c r="G21" s="164"/>
      <c r="H21" s="164"/>
      <c r="I21" s="169"/>
      <c r="J21" s="172">
        <f>D21-СодержаниеМежп!E22</f>
        <v>0</v>
      </c>
    </row>
    <row r="22" spans="1:10" ht="22.5" customHeight="1">
      <c r="A22" s="168" t="str">
        <f>ДифНорматив!B23</f>
        <v>МО "Череновское"</v>
      </c>
      <c r="B22" s="164">
        <f t="shared" si="0"/>
        <v>475500</v>
      </c>
      <c r="C22" s="164"/>
      <c r="D22" s="164">
        <f>СодержаниеМежп!E23</f>
        <v>14500</v>
      </c>
      <c r="E22" s="164">
        <f>СодержаниеПосел!L16</f>
        <v>461000</v>
      </c>
      <c r="F22" s="164"/>
      <c r="G22" s="164"/>
      <c r="H22" s="164"/>
      <c r="I22" s="169"/>
      <c r="J22" s="172">
        <f>D22-СодержаниеМежп!E23</f>
        <v>0</v>
      </c>
    </row>
    <row r="23" spans="1:10" ht="22.5" customHeight="1">
      <c r="A23" s="168" t="str">
        <f>ДифНорматив!B24</f>
        <v>МО "Шангальское"</v>
      </c>
      <c r="B23" s="164">
        <f t="shared" si="0"/>
        <v>5143200</v>
      </c>
      <c r="C23" s="164"/>
      <c r="D23" s="173">
        <f>СодержаниеМежп!E24</f>
        <v>153700</v>
      </c>
      <c r="E23" s="164">
        <f>СодержаниеПосел!L17</f>
        <v>2112000</v>
      </c>
      <c r="F23" s="164">
        <f>МостыТрубопереходы!K12+МостыТрубопереходы!K13</f>
        <v>0</v>
      </c>
      <c r="G23" s="164"/>
      <c r="H23" s="164">
        <f>Ремонт!H22</f>
        <v>2877500</v>
      </c>
      <c r="I23" s="169"/>
      <c r="J23" s="172">
        <f>D23-СодержаниеМежп!E24</f>
        <v>0</v>
      </c>
    </row>
    <row r="24" spans="1:9" ht="35.25" customHeight="1">
      <c r="A24" s="170" t="s">
        <v>82</v>
      </c>
      <c r="B24" s="164">
        <f t="shared" si="0"/>
        <v>902648</v>
      </c>
      <c r="C24" s="164"/>
      <c r="D24" s="164"/>
      <c r="E24" s="164"/>
      <c r="F24" s="164"/>
      <c r="G24" s="164"/>
      <c r="H24" s="164"/>
      <c r="I24" s="164">
        <f>РасчетРайону!E15</f>
        <v>902648</v>
      </c>
    </row>
    <row r="25" spans="1:9" ht="22.5" customHeight="1">
      <c r="A25" s="168" t="s">
        <v>93</v>
      </c>
      <c r="B25" s="164">
        <f>SUM(C25:I25)</f>
        <v>22784466.999999985</v>
      </c>
      <c r="C25" s="164">
        <f aca="true" t="shared" si="1" ref="C25:I25">SUM(C8:C24)</f>
        <v>0</v>
      </c>
      <c r="D25" s="164">
        <f>SUM(D8:D24)</f>
        <v>2755600</v>
      </c>
      <c r="E25" s="164">
        <f>SUM(E8:E24)</f>
        <v>13010000</v>
      </c>
      <c r="F25" s="164">
        <f t="shared" si="1"/>
        <v>1876250</v>
      </c>
      <c r="G25" s="164">
        <f t="shared" si="1"/>
        <v>1362468.999999985</v>
      </c>
      <c r="H25" s="164">
        <f>SUM(H8:H24)</f>
        <v>2877500</v>
      </c>
      <c r="I25" s="164">
        <f t="shared" si="1"/>
        <v>902648</v>
      </c>
    </row>
    <row r="26" ht="12.75">
      <c r="G26" s="171"/>
    </row>
  </sheetData>
  <sheetProtection/>
  <mergeCells count="7">
    <mergeCell ref="A1:H1"/>
    <mergeCell ref="A2:H2"/>
    <mergeCell ref="A3:H3"/>
    <mergeCell ref="B6:B7"/>
    <mergeCell ref="A6:A7"/>
    <mergeCell ref="A5:H5"/>
    <mergeCell ref="C6:I6"/>
  </mergeCells>
  <printOptions/>
  <pageMargins left="0" right="0" top="0" bottom="0" header="0" footer="0"/>
  <pageSetup horizontalDpi="600" verticalDpi="600" orientation="landscape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9"/>
  <sheetViews>
    <sheetView view="pageBreakPreview" zoomScaleSheetLayoutView="100" zoomScalePageLayoutView="0" workbookViewId="0" topLeftCell="A8">
      <selection activeCell="G13" sqref="G13"/>
    </sheetView>
  </sheetViews>
  <sheetFormatPr defaultColWidth="9.00390625" defaultRowHeight="12.75"/>
  <cols>
    <col min="1" max="1" width="6.875" style="0" customWidth="1"/>
    <col min="2" max="2" width="8.75390625" style="0" customWidth="1"/>
    <col min="3" max="3" width="22.625" style="0" customWidth="1"/>
    <col min="4" max="4" width="11.625" style="0" customWidth="1"/>
    <col min="5" max="5" width="10.375" style="0" customWidth="1"/>
    <col min="6" max="6" width="11.625" style="0" customWidth="1"/>
    <col min="7" max="7" width="11.875" style="0" customWidth="1"/>
    <col min="8" max="8" width="14.375" style="0" customWidth="1"/>
    <col min="9" max="10" width="14.375" style="308" customWidth="1"/>
    <col min="11" max="11" width="11.75390625" style="0" bestFit="1" customWidth="1"/>
    <col min="12" max="12" width="9.75390625" style="0" bestFit="1" customWidth="1"/>
    <col min="13" max="14" width="13.375" style="0" bestFit="1" customWidth="1"/>
    <col min="15" max="15" width="13.25390625" style="0" customWidth="1"/>
  </cols>
  <sheetData>
    <row r="1" spans="1:11" ht="12.75" customHeight="1">
      <c r="A1" s="150"/>
      <c r="B1" s="150"/>
      <c r="C1" s="150"/>
      <c r="D1" s="442"/>
      <c r="E1" s="442"/>
      <c r="F1" s="442"/>
      <c r="G1" s="442"/>
      <c r="H1" s="442"/>
      <c r="I1" s="301"/>
      <c r="J1" s="301"/>
      <c r="K1" s="138"/>
    </row>
    <row r="2" spans="1:11" ht="12.75" customHeight="1">
      <c r="A2" s="150"/>
      <c r="B2" s="150"/>
      <c r="C2" s="150"/>
      <c r="D2" s="442"/>
      <c r="E2" s="442"/>
      <c r="F2" s="442"/>
      <c r="G2" s="442"/>
      <c r="H2" s="442"/>
      <c r="I2" s="301"/>
      <c r="J2" s="301"/>
      <c r="K2" s="138"/>
    </row>
    <row r="3" spans="1:11" ht="12.75">
      <c r="A3" s="150"/>
      <c r="B3" s="150"/>
      <c r="C3" s="150"/>
      <c r="D3" s="443"/>
      <c r="E3" s="443"/>
      <c r="F3" s="443"/>
      <c r="G3" s="443"/>
      <c r="H3" s="443"/>
      <c r="I3" s="302"/>
      <c r="J3" s="302"/>
      <c r="K3" s="144"/>
    </row>
    <row r="4" spans="1:11" ht="18.75">
      <c r="A4" s="150"/>
      <c r="B4" s="150"/>
      <c r="C4" s="150"/>
      <c r="D4" s="74"/>
      <c r="E4" s="74"/>
      <c r="F4" s="74"/>
      <c r="G4" s="74"/>
      <c r="H4" s="74"/>
      <c r="I4" s="303"/>
      <c r="J4" s="303"/>
      <c r="K4" s="150"/>
    </row>
    <row r="5" spans="1:12" ht="55.5" customHeight="1">
      <c r="A5" s="481" t="s">
        <v>87</v>
      </c>
      <c r="B5" s="481"/>
      <c r="C5" s="481"/>
      <c r="D5" s="481"/>
      <c r="E5" s="481"/>
      <c r="F5" s="481"/>
      <c r="G5" s="481"/>
      <c r="H5" s="481"/>
      <c r="I5" s="304"/>
      <c r="J5" s="304"/>
      <c r="K5" s="151"/>
      <c r="L5" s="151"/>
    </row>
    <row r="6" spans="1:11" ht="12.75">
      <c r="A6" s="150"/>
      <c r="B6" s="150"/>
      <c r="C6" s="150"/>
      <c r="D6" s="150"/>
      <c r="E6" s="150"/>
      <c r="F6" s="150"/>
      <c r="G6" s="150"/>
      <c r="H6" s="150"/>
      <c r="I6" s="305"/>
      <c r="J6" s="305"/>
      <c r="K6" s="150"/>
    </row>
    <row r="7" spans="1:13" ht="83.25" customHeight="1">
      <c r="A7" s="113" t="s">
        <v>79</v>
      </c>
      <c r="B7" s="114" t="s">
        <v>56</v>
      </c>
      <c r="C7" s="114" t="s">
        <v>57</v>
      </c>
      <c r="D7" s="114" t="s">
        <v>59</v>
      </c>
      <c r="E7" s="114" t="s">
        <v>60</v>
      </c>
      <c r="F7" s="116" t="s">
        <v>96</v>
      </c>
      <c r="G7" s="116" t="s">
        <v>135</v>
      </c>
      <c r="H7" s="293" t="s">
        <v>176</v>
      </c>
      <c r="I7" s="293" t="s">
        <v>177</v>
      </c>
      <c r="J7" s="306" t="s">
        <v>178</v>
      </c>
      <c r="K7" s="299" t="s">
        <v>132</v>
      </c>
      <c r="M7" s="258"/>
    </row>
    <row r="8" spans="1:15" ht="63" customHeight="1">
      <c r="A8" s="108">
        <v>1</v>
      </c>
      <c r="B8" s="254" t="s">
        <v>73</v>
      </c>
      <c r="C8" s="253" t="s">
        <v>130</v>
      </c>
      <c r="D8" s="107">
        <v>0</v>
      </c>
      <c r="E8" s="107">
        <v>5</v>
      </c>
      <c r="F8" s="312">
        <v>5</v>
      </c>
      <c r="G8" s="118">
        <v>260000</v>
      </c>
      <c r="H8" s="294">
        <f>H9+H10</f>
        <v>942850</v>
      </c>
      <c r="I8" s="283">
        <f>F8*G8</f>
        <v>1300000</v>
      </c>
      <c r="J8" s="313">
        <f>H8/G8</f>
        <v>3.626346153846154</v>
      </c>
      <c r="K8" s="300">
        <f>507030.25*0.15</f>
        <v>76054.53749999999</v>
      </c>
      <c r="L8" s="262">
        <f>1000000-K8</f>
        <v>923945.4625</v>
      </c>
      <c r="N8" s="258">
        <f>F8*G8</f>
        <v>1300000</v>
      </c>
      <c r="O8" s="258">
        <f>N8-H8</f>
        <v>357150</v>
      </c>
    </row>
    <row r="9" spans="1:12" ht="18" customHeight="1">
      <c r="A9" s="108" t="s">
        <v>128</v>
      </c>
      <c r="B9" s="255" t="s">
        <v>129</v>
      </c>
      <c r="C9" s="256" t="s">
        <v>131</v>
      </c>
      <c r="D9" s="315">
        <f>1435800</f>
        <v>1435800</v>
      </c>
      <c r="E9" s="316">
        <f>L8</f>
        <v>923945.4625</v>
      </c>
      <c r="F9" s="317"/>
      <c r="G9" s="317"/>
      <c r="H9" s="318">
        <f>1435800-L8+19.75</f>
        <v>511874.2875</v>
      </c>
      <c r="I9" s="311"/>
      <c r="J9" s="310"/>
      <c r="K9" s="495">
        <f>SUM(K8:L8)</f>
        <v>1000000</v>
      </c>
      <c r="L9" s="495"/>
    </row>
    <row r="10" spans="1:13" ht="15.75" customHeight="1">
      <c r="A10" s="108" t="s">
        <v>133</v>
      </c>
      <c r="B10" s="255"/>
      <c r="C10" s="256" t="s">
        <v>132</v>
      </c>
      <c r="D10" s="315">
        <f>507030.25</f>
        <v>507030.25</v>
      </c>
      <c r="E10" s="316">
        <f>K8</f>
        <v>76054.53749999999</v>
      </c>
      <c r="F10" s="317"/>
      <c r="G10" s="317"/>
      <c r="H10" s="318">
        <f>507030.25-K8</f>
        <v>430975.7125</v>
      </c>
      <c r="I10" s="292"/>
      <c r="J10" s="292"/>
      <c r="K10">
        <f>K8*0.85</f>
        <v>64646.35687499999</v>
      </c>
      <c r="M10" s="259"/>
    </row>
    <row r="11" spans="1:15" ht="69" customHeight="1">
      <c r="A11" s="108">
        <v>2</v>
      </c>
      <c r="B11" s="254" t="s">
        <v>73</v>
      </c>
      <c r="C11" s="253" t="s">
        <v>136</v>
      </c>
      <c r="D11" s="107">
        <v>0</v>
      </c>
      <c r="E11" s="257">
        <v>2.215</v>
      </c>
      <c r="F11" s="257">
        <v>2.215</v>
      </c>
      <c r="G11" s="118">
        <f>G8</f>
        <v>260000</v>
      </c>
      <c r="H11" s="294">
        <f>H12</f>
        <v>514250</v>
      </c>
      <c r="I11" s="283">
        <f>F11*G11</f>
        <v>575900</v>
      </c>
      <c r="J11" s="313">
        <f>H11/G11</f>
        <v>1.9778846153846155</v>
      </c>
      <c r="N11" s="258">
        <f>F11*G11</f>
        <v>575900</v>
      </c>
      <c r="O11" s="258">
        <f>N11-H11</f>
        <v>61650</v>
      </c>
    </row>
    <row r="12" spans="1:14" ht="18" customHeight="1">
      <c r="A12" s="108" t="s">
        <v>134</v>
      </c>
      <c r="B12" s="255"/>
      <c r="C12" s="256" t="s">
        <v>132</v>
      </c>
      <c r="D12" s="314">
        <f>G34</f>
        <v>395747.87</v>
      </c>
      <c r="E12" s="314">
        <f>H34</f>
        <v>118494.99</v>
      </c>
      <c r="F12" s="107"/>
      <c r="G12" s="118"/>
      <c r="H12" s="295">
        <f>K34+K12</f>
        <v>514250</v>
      </c>
      <c r="I12" s="283"/>
      <c r="J12" s="283"/>
      <c r="K12" s="258">
        <v>7.14</v>
      </c>
      <c r="M12">
        <f>D12*0.15</f>
        <v>59362.180499999995</v>
      </c>
      <c r="N12">
        <f>E12*0.15</f>
        <v>17774.2485</v>
      </c>
    </row>
    <row r="13" spans="1:15" ht="60">
      <c r="A13" s="108">
        <v>3</v>
      </c>
      <c r="B13" s="254" t="s">
        <v>73</v>
      </c>
      <c r="C13" s="253" t="s">
        <v>136</v>
      </c>
      <c r="D13" s="257">
        <f>E11</f>
        <v>2.215</v>
      </c>
      <c r="E13" s="257">
        <f>D13+3.9</f>
        <v>6.115</v>
      </c>
      <c r="F13" s="107">
        <f>3.9</f>
        <v>3.9</v>
      </c>
      <c r="G13" s="118">
        <f>G11</f>
        <v>260000</v>
      </c>
      <c r="H13" s="294">
        <f>H14+H15</f>
        <v>1420400</v>
      </c>
      <c r="I13" s="283">
        <f>F13*G13</f>
        <v>1014000</v>
      </c>
      <c r="J13" s="313">
        <f>H13/G13</f>
        <v>5.463076923076923</v>
      </c>
      <c r="N13" s="258">
        <f>F13*G13</f>
        <v>1014000</v>
      </c>
      <c r="O13" s="258">
        <f>N13-H13</f>
        <v>-406400</v>
      </c>
    </row>
    <row r="14" spans="1:12" ht="15">
      <c r="A14" s="108" t="s">
        <v>138</v>
      </c>
      <c r="B14" s="255" t="s">
        <v>129</v>
      </c>
      <c r="C14" s="256" t="s">
        <v>131</v>
      </c>
      <c r="D14" s="322">
        <f>H14</f>
        <v>920441.88</v>
      </c>
      <c r="E14" s="257"/>
      <c r="F14" s="107"/>
      <c r="G14" s="118"/>
      <c r="H14" s="295">
        <f>920441.88</f>
        <v>920441.88</v>
      </c>
      <c r="I14" s="283"/>
      <c r="J14" s="283"/>
      <c r="K14" s="194"/>
      <c r="L14" s="258"/>
    </row>
    <row r="15" spans="1:10" ht="18" customHeight="1">
      <c r="A15" s="108" t="s">
        <v>139</v>
      </c>
      <c r="B15" s="255"/>
      <c r="C15" s="256" t="s">
        <v>137</v>
      </c>
      <c r="D15" s="107"/>
      <c r="E15" s="107"/>
      <c r="F15" s="107"/>
      <c r="G15" s="118"/>
      <c r="H15" s="295">
        <f>500000+8.12-50</f>
        <v>499958.12</v>
      </c>
      <c r="I15" s="283"/>
      <c r="J15" s="283"/>
    </row>
    <row r="16" spans="1:10" ht="24.75" customHeight="1">
      <c r="A16" s="108">
        <v>4</v>
      </c>
      <c r="B16" s="280"/>
      <c r="C16" s="253"/>
      <c r="D16" s="281"/>
      <c r="E16" s="281"/>
      <c r="F16" s="282"/>
      <c r="G16" s="283"/>
      <c r="H16" s="296"/>
      <c r="I16" s="283"/>
      <c r="J16" s="283"/>
    </row>
    <row r="17" spans="1:10" ht="18" customHeight="1">
      <c r="A17" s="108" t="s">
        <v>167</v>
      </c>
      <c r="B17" s="284"/>
      <c r="C17" s="256"/>
      <c r="D17" s="281"/>
      <c r="E17" s="281"/>
      <c r="F17" s="282"/>
      <c r="G17" s="283"/>
      <c r="H17" s="296"/>
      <c r="I17" s="283"/>
      <c r="J17" s="283"/>
    </row>
    <row r="18" spans="1:10" ht="18" customHeight="1">
      <c r="A18" s="108" t="s">
        <v>168</v>
      </c>
      <c r="B18" s="284"/>
      <c r="C18" s="256"/>
      <c r="D18" s="282"/>
      <c r="E18" s="282"/>
      <c r="F18" s="282"/>
      <c r="G18" s="283"/>
      <c r="H18" s="296"/>
      <c r="I18" s="283"/>
      <c r="J18" s="283"/>
    </row>
    <row r="19" spans="1:10" ht="18" customHeight="1">
      <c r="A19" s="108">
        <v>5</v>
      </c>
      <c r="B19" s="280"/>
      <c r="C19" s="253"/>
      <c r="D19" s="281"/>
      <c r="E19" s="281"/>
      <c r="F19" s="282"/>
      <c r="G19" s="283"/>
      <c r="H19" s="296"/>
      <c r="I19" s="283"/>
      <c r="J19" s="283"/>
    </row>
    <row r="20" spans="1:10" ht="18" customHeight="1">
      <c r="A20" s="108" t="s">
        <v>169</v>
      </c>
      <c r="B20" s="284"/>
      <c r="C20" s="256"/>
      <c r="D20" s="281"/>
      <c r="E20" s="281"/>
      <c r="F20" s="282"/>
      <c r="G20" s="283"/>
      <c r="H20" s="296"/>
      <c r="I20" s="283"/>
      <c r="J20" s="283"/>
    </row>
    <row r="21" spans="1:10" ht="18" customHeight="1">
      <c r="A21" s="276"/>
      <c r="B21" s="277"/>
      <c r="C21" s="278"/>
      <c r="D21" s="107"/>
      <c r="E21" s="107"/>
      <c r="F21" s="107"/>
      <c r="G21" s="118"/>
      <c r="H21" s="295"/>
      <c r="I21" s="283"/>
      <c r="J21" s="283"/>
    </row>
    <row r="22" spans="1:11" ht="21" customHeight="1">
      <c r="A22" s="492" t="s">
        <v>76</v>
      </c>
      <c r="B22" s="493"/>
      <c r="C22" s="494"/>
      <c r="D22" s="262"/>
      <c r="E22" s="262"/>
      <c r="F22" s="319">
        <f>F8+F11+F13</f>
        <v>11.115</v>
      </c>
      <c r="G22" s="262"/>
      <c r="H22" s="297">
        <f>H13+H11+H8</f>
        <v>2877500</v>
      </c>
      <c r="I22" s="297">
        <f>I13+I11+I8</f>
        <v>2889900</v>
      </c>
      <c r="J22" s="319">
        <f>J8+J11+J13</f>
        <v>11.067307692307693</v>
      </c>
      <c r="K22" s="258"/>
    </row>
    <row r="23" spans="1:11" ht="21" customHeight="1">
      <c r="A23" s="320"/>
      <c r="B23" s="320"/>
      <c r="C23" s="320"/>
      <c r="D23" s="248"/>
      <c r="E23" s="248"/>
      <c r="F23" s="321"/>
      <c r="G23" s="248"/>
      <c r="H23" s="291"/>
      <c r="I23" s="297">
        <f>H22-I22</f>
        <v>-12400</v>
      </c>
      <c r="J23" s="319"/>
      <c r="K23" s="258"/>
    </row>
    <row r="24" spans="6:13" ht="12.75">
      <c r="F24" s="261">
        <f>F22*G13-H22</f>
        <v>12400</v>
      </c>
      <c r="G24" s="258">
        <f>H22/F22</f>
        <v>258884.39046333783</v>
      </c>
      <c r="H24" s="260">
        <f>F22*G13</f>
        <v>2889900</v>
      </c>
      <c r="I24" s="307"/>
      <c r="J24" s="307"/>
      <c r="K24">
        <f>H22/G13</f>
        <v>11.067307692307692</v>
      </c>
      <c r="L24">
        <v>11</v>
      </c>
      <c r="M24" s="258">
        <f>L24*G13</f>
        <v>2860000</v>
      </c>
    </row>
    <row r="25" spans="8:13" ht="12.75">
      <c r="H25" s="260">
        <f>H24-H22</f>
        <v>12400</v>
      </c>
      <c r="I25" s="307"/>
      <c r="J25" s="307"/>
      <c r="L25">
        <v>10.9</v>
      </c>
      <c r="M25" s="258">
        <f>L25*G13</f>
        <v>2834000</v>
      </c>
    </row>
    <row r="30" ht="12.75">
      <c r="D30" s="279">
        <v>0.15</v>
      </c>
    </row>
    <row r="31" spans="3:10" ht="12.75">
      <c r="C31" s="262" t="s">
        <v>171</v>
      </c>
      <c r="D31" s="268">
        <f>H31*D30</f>
        <v>11408.180624999999</v>
      </c>
      <c r="E31" s="262"/>
      <c r="F31" s="262"/>
      <c r="G31" s="262"/>
      <c r="H31" s="298">
        <f>K8</f>
        <v>76054.53749999999</v>
      </c>
      <c r="I31" s="309"/>
      <c r="J31" s="309"/>
    </row>
    <row r="32" spans="3:10" ht="12.75">
      <c r="C32" s="262" t="s">
        <v>172</v>
      </c>
      <c r="D32" s="262"/>
      <c r="E32" s="262"/>
      <c r="F32" s="262"/>
      <c r="G32" s="262"/>
      <c r="H32" s="298">
        <f>1435800</f>
        <v>1435800</v>
      </c>
      <c r="I32" s="309"/>
      <c r="J32" s="309"/>
    </row>
    <row r="33" spans="3:10" ht="12.75">
      <c r="C33" s="262"/>
      <c r="D33" s="262"/>
      <c r="E33" s="262"/>
      <c r="F33" s="262"/>
      <c r="G33" s="262"/>
      <c r="H33" s="298"/>
      <c r="I33" s="309"/>
      <c r="J33" s="309"/>
    </row>
    <row r="34" spans="3:14" ht="12.75">
      <c r="C34" s="262" t="s">
        <v>173</v>
      </c>
      <c r="D34" s="262"/>
      <c r="E34" s="262"/>
      <c r="F34" s="262"/>
      <c r="G34" s="268">
        <v>395747.87</v>
      </c>
      <c r="H34" s="298">
        <v>118494.99</v>
      </c>
      <c r="I34" s="309"/>
      <c r="J34" s="309"/>
      <c r="K34" s="193">
        <f>G34+H34</f>
        <v>514242.86</v>
      </c>
      <c r="M34">
        <f>G34*0.15</f>
        <v>59362.180499999995</v>
      </c>
      <c r="N34">
        <f>H34*0.15</f>
        <v>17774.2485</v>
      </c>
    </row>
    <row r="35" spans="3:14" ht="12.75">
      <c r="C35" s="262"/>
      <c r="D35" s="262"/>
      <c r="E35" s="262"/>
      <c r="F35" s="262"/>
      <c r="G35" s="262"/>
      <c r="H35" s="298"/>
      <c r="I35" s="309"/>
      <c r="J35" s="309"/>
      <c r="M35">
        <f>62498.06/0.15</f>
        <v>416653.73333333334</v>
      </c>
      <c r="N35">
        <f>20910.87/0.15</f>
        <v>139405.8</v>
      </c>
    </row>
    <row r="36" spans="3:14" ht="12.75">
      <c r="C36" s="262" t="s">
        <v>174</v>
      </c>
      <c r="D36" s="262"/>
      <c r="E36" s="262"/>
      <c r="F36" s="262"/>
      <c r="G36" s="262"/>
      <c r="H36" s="298">
        <v>500000</v>
      </c>
      <c r="I36" s="309"/>
      <c r="J36" s="309"/>
      <c r="M36" s="193">
        <f>M35-G34</f>
        <v>20905.863333333342</v>
      </c>
      <c r="N36" s="193">
        <f>N35-H34</f>
        <v>20910.809999999983</v>
      </c>
    </row>
    <row r="37" spans="3:10" ht="12.75">
      <c r="C37" s="262" t="s">
        <v>175</v>
      </c>
      <c r="D37" s="262"/>
      <c r="E37" s="262"/>
      <c r="F37" s="262"/>
      <c r="G37" s="262"/>
      <c r="H37" s="298">
        <f>H14</f>
        <v>920441.88</v>
      </c>
      <c r="I37" s="309"/>
      <c r="J37" s="309"/>
    </row>
    <row r="38" spans="3:10" ht="12.75">
      <c r="C38" s="262"/>
      <c r="D38" s="262"/>
      <c r="E38" s="262"/>
      <c r="F38" s="262"/>
      <c r="G38" s="262"/>
      <c r="H38" s="298"/>
      <c r="I38" s="309"/>
      <c r="J38" s="309"/>
    </row>
    <row r="39" spans="3:10" ht="12.75">
      <c r="C39" s="262"/>
      <c r="D39" s="262"/>
      <c r="E39" s="262"/>
      <c r="F39" s="262"/>
      <c r="G39" s="262"/>
      <c r="H39" s="298"/>
      <c r="I39" s="309"/>
      <c r="J39" s="309"/>
    </row>
  </sheetData>
  <sheetProtection/>
  <mergeCells count="6">
    <mergeCell ref="A22:C22"/>
    <mergeCell ref="K9:L9"/>
    <mergeCell ref="A5:H5"/>
    <mergeCell ref="D1:H1"/>
    <mergeCell ref="D2:H2"/>
    <mergeCell ref="D3:H3"/>
  </mergeCells>
  <printOptions horizontalCentered="1"/>
  <pageMargins left="0" right="0" top="0" bottom="0" header="0" footer="0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2"/>
  <sheetViews>
    <sheetView view="pageBreakPreview" zoomScale="150" zoomScaleSheetLayoutView="150" zoomScalePageLayoutView="0" workbookViewId="0" topLeftCell="A1">
      <selection activeCell="D5" sqref="D5"/>
    </sheetView>
  </sheetViews>
  <sheetFormatPr defaultColWidth="9.00390625" defaultRowHeight="18" customHeight="1"/>
  <cols>
    <col min="1" max="1" width="3.625" style="368" customWidth="1"/>
    <col min="2" max="2" width="21.375" style="368" customWidth="1"/>
    <col min="3" max="3" width="20.125" style="369" bestFit="1" customWidth="1"/>
    <col min="4" max="4" width="18.75390625" style="369" customWidth="1"/>
    <col min="5" max="5" width="20.625" style="369" customWidth="1"/>
    <col min="6" max="6" width="22.00390625" style="369" customWidth="1"/>
    <col min="7" max="7" width="16.625" style="369" customWidth="1"/>
    <col min="8" max="8" width="8.125" style="369" customWidth="1"/>
    <col min="9" max="9" width="26.375" style="369" customWidth="1"/>
    <col min="10" max="10" width="17.875" style="369" customWidth="1"/>
    <col min="11" max="12" width="9.125" style="369" customWidth="1"/>
    <col min="13" max="16384" width="9.125" style="368" customWidth="1"/>
  </cols>
  <sheetData>
    <row r="1" ht="18" customHeight="1">
      <c r="I1" s="369" t="e">
        <f>H2/H1</f>
        <v>#DIV/0!</v>
      </c>
    </row>
    <row r="2" spans="2:10" ht="34.5" customHeight="1">
      <c r="B2" s="499"/>
      <c r="C2" s="500"/>
      <c r="D2" s="370" t="s">
        <v>46</v>
      </c>
      <c r="E2" s="371" t="s">
        <v>113</v>
      </c>
      <c r="F2" s="371" t="s">
        <v>101</v>
      </c>
      <c r="I2" s="369">
        <v>0.8786</v>
      </c>
      <c r="J2" s="369">
        <v>100</v>
      </c>
    </row>
    <row r="3" spans="2:11" ht="23.25" customHeight="1">
      <c r="B3" s="372" t="s">
        <v>44</v>
      </c>
      <c r="C3" s="373">
        <f>SUM(D3:E3)</f>
        <v>24355284</v>
      </c>
      <c r="D3" s="374">
        <f>ДифНорматив!D83</f>
        <v>21095367</v>
      </c>
      <c r="E3" s="375">
        <f>F21</f>
        <v>3259917</v>
      </c>
      <c r="F3" s="376" t="s">
        <v>102</v>
      </c>
      <c r="G3" s="377"/>
      <c r="H3" s="378"/>
      <c r="I3" s="379">
        <f>Лист1!G58</f>
        <v>0.2895159144672405</v>
      </c>
      <c r="J3" s="380">
        <f>I3/I2</f>
        <v>0.3295195930653773</v>
      </c>
      <c r="K3" s="378"/>
    </row>
    <row r="4" spans="2:11" ht="33" customHeight="1">
      <c r="B4" s="381" t="s">
        <v>45</v>
      </c>
      <c r="C4" s="373">
        <v>1689100</v>
      </c>
      <c r="D4" s="374">
        <f>C4-E4</f>
        <v>1689100</v>
      </c>
      <c r="E4" s="382"/>
      <c r="F4" s="383" t="s">
        <v>231</v>
      </c>
      <c r="G4" s="377"/>
      <c r="H4" s="378"/>
      <c r="I4" s="379">
        <f>I2-I3</f>
        <v>0.5890840855327595</v>
      </c>
      <c r="J4" s="380">
        <f>I4/I2</f>
        <v>0.6704804069346226</v>
      </c>
      <c r="K4" s="378"/>
    </row>
    <row r="5" spans="2:11" ht="18" customHeight="1">
      <c r="B5" s="381" t="s">
        <v>1</v>
      </c>
      <c r="C5" s="373">
        <f>SUM(C3:C4)</f>
        <v>26044384</v>
      </c>
      <c r="D5" s="384">
        <f>SUM(D3:D4)</f>
        <v>22784467</v>
      </c>
      <c r="E5" s="385">
        <f>SUM(E3:E4)</f>
        <v>3259917</v>
      </c>
      <c r="F5" s="386"/>
      <c r="G5" s="377"/>
      <c r="H5" s="378"/>
      <c r="I5" s="378"/>
      <c r="J5" s="378"/>
      <c r="K5" s="378"/>
    </row>
    <row r="6" spans="2:11" ht="18" customHeight="1">
      <c r="B6" s="502" t="s">
        <v>232</v>
      </c>
      <c r="C6" s="503"/>
      <c r="D6" s="387">
        <f>D3+C4</f>
        <v>22784467</v>
      </c>
      <c r="E6" s="388"/>
      <c r="F6" s="373"/>
      <c r="G6" s="377"/>
      <c r="H6" s="378"/>
      <c r="I6" s="378"/>
      <c r="J6" s="378"/>
      <c r="K6" s="378"/>
    </row>
    <row r="7" spans="3:11" ht="18" customHeight="1">
      <c r="C7" s="378"/>
      <c r="D7" s="378"/>
      <c r="E7" s="378"/>
      <c r="F7" s="373"/>
      <c r="G7" s="389"/>
      <c r="H7" s="390"/>
      <c r="I7" s="378"/>
      <c r="J7" s="378"/>
      <c r="K7" s="378"/>
    </row>
    <row r="8" spans="2:11" ht="18" customHeight="1">
      <c r="B8" s="501" t="s">
        <v>108</v>
      </c>
      <c r="C8" s="501"/>
      <c r="D8" s="501"/>
      <c r="E8" s="501"/>
      <c r="F8" s="373"/>
      <c r="G8" s="389"/>
      <c r="H8" s="391"/>
      <c r="I8" s="392"/>
      <c r="J8" s="378"/>
      <c r="K8" s="378"/>
    </row>
    <row r="9" spans="2:11" ht="18" customHeight="1">
      <c r="B9" s="393"/>
      <c r="C9" s="393" t="s">
        <v>119</v>
      </c>
      <c r="D9" s="393" t="s">
        <v>51</v>
      </c>
      <c r="E9" s="394" t="s">
        <v>120</v>
      </c>
      <c r="F9" s="395"/>
      <c r="G9" s="378"/>
      <c r="H9" s="378"/>
      <c r="I9" s="378"/>
      <c r="J9" s="378"/>
      <c r="K9" s="378"/>
    </row>
    <row r="10" spans="2:11" ht="18" customHeight="1">
      <c r="B10" s="393" t="s">
        <v>116</v>
      </c>
      <c r="C10" s="395">
        <f>'[2]РасчетРайону'!$E$11</f>
        <v>2505208</v>
      </c>
      <c r="D10" s="396">
        <f>E10/C10</f>
        <v>1.0999485871033463</v>
      </c>
      <c r="E10" s="397">
        <v>2755600</v>
      </c>
      <c r="F10" s="398" t="s">
        <v>103</v>
      </c>
      <c r="G10" s="399"/>
      <c r="H10" s="400"/>
      <c r="I10" s="378"/>
      <c r="J10" s="378"/>
      <c r="K10" s="378"/>
    </row>
    <row r="11" spans="2:11" ht="18" customHeight="1">
      <c r="B11" s="393" t="s">
        <v>117</v>
      </c>
      <c r="C11" s="395">
        <v>0</v>
      </c>
      <c r="D11" s="396">
        <v>0</v>
      </c>
      <c r="E11" s="397">
        <f>СодержаниеПосел!J18+СодержаниеПосел!K18</f>
        <v>13010000.000000002</v>
      </c>
      <c r="F11" s="398" t="s">
        <v>103</v>
      </c>
      <c r="G11" s="377"/>
      <c r="H11" s="400"/>
      <c r="I11" s="378"/>
      <c r="J11" s="378"/>
      <c r="K11" s="378"/>
    </row>
    <row r="12" spans="2:11" ht="18" customHeight="1">
      <c r="B12" s="393" t="s">
        <v>48</v>
      </c>
      <c r="C12" s="395">
        <v>0</v>
      </c>
      <c r="D12" s="396">
        <v>0</v>
      </c>
      <c r="E12" s="397">
        <f>Мосты!K8</f>
        <v>1876250</v>
      </c>
      <c r="F12" s="398" t="s">
        <v>127</v>
      </c>
      <c r="G12" s="401"/>
      <c r="H12" s="400"/>
      <c r="I12" s="402"/>
      <c r="J12" s="378"/>
      <c r="K12" s="378"/>
    </row>
    <row r="13" spans="2:11" ht="26.25" customHeight="1">
      <c r="B13" s="393" t="s">
        <v>49</v>
      </c>
      <c r="C13" s="395">
        <f>'[2]РасчетРайону'!$E$13</f>
        <v>2576076</v>
      </c>
      <c r="D13" s="396">
        <f>E13/C13</f>
        <v>0.5288931693008999</v>
      </c>
      <c r="E13" s="397">
        <f>Зимники!L11</f>
        <v>1362468.999999985</v>
      </c>
      <c r="F13" s="403" t="s">
        <v>170</v>
      </c>
      <c r="G13" s="404"/>
      <c r="H13" s="400"/>
      <c r="I13" s="402"/>
      <c r="J13" s="378"/>
      <c r="K13" s="378"/>
    </row>
    <row r="14" spans="2:11" ht="18" customHeight="1">
      <c r="B14" s="393" t="s">
        <v>118</v>
      </c>
      <c r="C14" s="395">
        <f>'[2]РасчетРайону'!$E$14</f>
        <v>1000000</v>
      </c>
      <c r="D14" s="405">
        <f>E14/C14</f>
        <v>2.8775</v>
      </c>
      <c r="E14" s="397">
        <f>Ремонт!H22</f>
        <v>2877500</v>
      </c>
      <c r="F14" s="398" t="s">
        <v>104</v>
      </c>
      <c r="G14" s="377"/>
      <c r="H14" s="400"/>
      <c r="I14" s="378"/>
      <c r="J14" s="378"/>
      <c r="K14" s="378"/>
    </row>
    <row r="15" spans="2:11" ht="24.75" customHeight="1">
      <c r="B15" s="393" t="s">
        <v>50</v>
      </c>
      <c r="C15" s="395">
        <f>'[2]РасчетРайону'!$E$15</f>
        <v>200000</v>
      </c>
      <c r="D15" s="396">
        <f>E15/C15</f>
        <v>4.51324</v>
      </c>
      <c r="E15" s="397">
        <f>902281+367</f>
        <v>902648</v>
      </c>
      <c r="F15" s="403"/>
      <c r="G15" s="399"/>
      <c r="H15" s="378"/>
      <c r="I15" s="378"/>
      <c r="J15" s="378"/>
      <c r="K15" s="378"/>
    </row>
    <row r="16" spans="2:11" ht="24.75" customHeight="1">
      <c r="B16" s="393" t="s">
        <v>105</v>
      </c>
      <c r="C16" s="395">
        <f>'[2]РасчетРайону'!$E$16</f>
        <v>1001516</v>
      </c>
      <c r="D16" s="396">
        <f>E16/C16</f>
        <v>0</v>
      </c>
      <c r="E16" s="397">
        <f>E4</f>
        <v>0</v>
      </c>
      <c r="F16" s="403"/>
      <c r="G16" s="399"/>
      <c r="H16" s="378"/>
      <c r="I16" s="378"/>
      <c r="J16" s="378"/>
      <c r="K16" s="378"/>
    </row>
    <row r="17" spans="2:11" ht="26.25" customHeight="1">
      <c r="B17" s="393" t="s">
        <v>52</v>
      </c>
      <c r="C17" s="395">
        <f>SUM(C10:C16)</f>
        <v>7282800</v>
      </c>
      <c r="D17" s="396">
        <f>E17/C17</f>
        <v>3.1285311967924403</v>
      </c>
      <c r="E17" s="406">
        <f>SUM(E10:E16)</f>
        <v>22784466.999999985</v>
      </c>
      <c r="F17" s="407"/>
      <c r="G17" s="399"/>
      <c r="H17" s="378"/>
      <c r="I17" s="378"/>
      <c r="J17" s="378"/>
      <c r="K17" s="378"/>
    </row>
    <row r="18" spans="3:11" ht="18" customHeight="1">
      <c r="C18" s="378"/>
      <c r="D18" s="378"/>
      <c r="E18" s="378"/>
      <c r="F18" s="401"/>
      <c r="G18" s="399"/>
      <c r="H18" s="378"/>
      <c r="I18" s="378"/>
      <c r="J18" s="378"/>
      <c r="K18" s="378"/>
    </row>
    <row r="19" spans="1:13" ht="33.75" customHeight="1">
      <c r="A19" s="504" t="s">
        <v>236</v>
      </c>
      <c r="B19" s="504"/>
      <c r="C19" s="504"/>
      <c r="D19" s="504"/>
      <c r="E19" s="504"/>
      <c r="F19" s="504"/>
      <c r="G19" s="408"/>
      <c r="H19" s="408"/>
      <c r="I19" s="408"/>
      <c r="J19" s="408"/>
      <c r="K19" s="408"/>
      <c r="L19" s="408"/>
      <c r="M19" s="408"/>
    </row>
    <row r="20" spans="1:11" ht="18" customHeight="1">
      <c r="A20" s="372"/>
      <c r="B20" s="372"/>
      <c r="C20" s="372" t="s">
        <v>229</v>
      </c>
      <c r="D20" s="372" t="s">
        <v>230</v>
      </c>
      <c r="E20" s="421" t="s">
        <v>234</v>
      </c>
      <c r="F20" s="373" t="s">
        <v>235</v>
      </c>
      <c r="G20" s="399"/>
      <c r="H20" s="378"/>
      <c r="I20" s="378"/>
      <c r="J20" s="378"/>
      <c r="K20" s="378"/>
    </row>
    <row r="21" spans="1:11" ht="18" customHeight="1">
      <c r="A21" s="372">
        <f>ДифНорматив!A65</f>
        <v>1</v>
      </c>
      <c r="B21" s="372" t="str">
        <f>ДифНорматив!B65</f>
        <v>МО "Октябрьское"</v>
      </c>
      <c r="C21" s="372">
        <f>ДифНорматив!C9</f>
        <v>81.5</v>
      </c>
      <c r="D21" s="409">
        <f>ДифНорматив!C28</f>
        <v>54.71792000000001</v>
      </c>
      <c r="E21" s="410">
        <f>ДифНорматив!C65</f>
        <v>0.10385301709854229</v>
      </c>
      <c r="F21" s="374">
        <f>ДифНорматив!D65-83</f>
        <v>3259917</v>
      </c>
      <c r="G21" s="423">
        <f>D21/C21</f>
        <v>0.6713855214723927</v>
      </c>
      <c r="H21" s="423">
        <f>(D21+D22+D23+D28+D29+D31+D33+D36)/(C21+C22+C23+C28+C29+C31+C33+C36)</f>
        <v>0.6532386880357808</v>
      </c>
      <c r="I21" s="378"/>
      <c r="J21" s="378"/>
      <c r="K21" s="378"/>
    </row>
    <row r="22" spans="1:7" ht="18" customHeight="1">
      <c r="A22" s="372">
        <f>ДифНорматив!A66</f>
        <v>2</v>
      </c>
      <c r="B22" s="372" t="str">
        <f>ДифНорматив!B66</f>
        <v>МО "Березницкое"</v>
      </c>
      <c r="C22" s="372">
        <f>ДифНорматив!C10</f>
        <v>31.2</v>
      </c>
      <c r="D22" s="409">
        <f>ДифНорматив!C29</f>
        <v>20.02514</v>
      </c>
      <c r="E22" s="410">
        <f>ДифНорматив!C66</f>
        <v>0.03800713197469317</v>
      </c>
      <c r="F22" s="374">
        <f>ДифНорматив!D66</f>
        <v>1193000</v>
      </c>
      <c r="G22" s="423">
        <f aca="true" t="shared" si="0" ref="G22:G37">D22/C22</f>
        <v>0.6418314102564103</v>
      </c>
    </row>
    <row r="23" spans="1:7" ht="18" customHeight="1">
      <c r="A23" s="372">
        <f>ДифНорматив!A67</f>
        <v>3</v>
      </c>
      <c r="B23" s="372" t="str">
        <f>ДифНорматив!B67</f>
        <v>МО "Бестужевское"</v>
      </c>
      <c r="C23" s="372">
        <f>ДифНорматив!C11</f>
        <v>26.7</v>
      </c>
      <c r="D23" s="409">
        <f>ДифНорматив!C30</f>
        <v>16.924099999999996</v>
      </c>
      <c r="E23" s="410">
        <f>ДифНорматив!C67</f>
        <v>0.032121448451941134</v>
      </c>
      <c r="F23" s="374">
        <f>ДифНорматив!D67</f>
        <v>1008000</v>
      </c>
      <c r="G23" s="423">
        <f t="shared" si="0"/>
        <v>0.6338614232209736</v>
      </c>
    </row>
    <row r="24" spans="1:7" ht="18" customHeight="1">
      <c r="A24" s="372">
        <f>ДифНорматив!A68</f>
        <v>4</v>
      </c>
      <c r="B24" s="372" t="str">
        <f>ДифНорматив!B68</f>
        <v>МО "Дмитриевское"</v>
      </c>
      <c r="C24" s="372">
        <f>ДифНорматив!C12</f>
        <v>23.9</v>
      </c>
      <c r="D24" s="409">
        <f>ДифНорматив!C31</f>
        <v>9.53746</v>
      </c>
      <c r="E24" s="410">
        <f>ДифНорматив!C68</f>
        <v>0.018101821057099083</v>
      </c>
      <c r="F24" s="374">
        <f>ДифНорматив!D68</f>
        <v>568000</v>
      </c>
      <c r="G24" s="422">
        <f t="shared" si="0"/>
        <v>0.39905690376569036</v>
      </c>
    </row>
    <row r="25" spans="1:7" ht="18" customHeight="1">
      <c r="A25" s="372">
        <f>ДифНорматив!A69</f>
        <v>5</v>
      </c>
      <c r="B25" s="372" t="str">
        <f>ДифНорматив!B69</f>
        <v>МО "Илезское"</v>
      </c>
      <c r="C25" s="372">
        <f>ДифНорматив!C13</f>
        <v>31.5</v>
      </c>
      <c r="D25" s="409">
        <f>ДифНорматив!C32</f>
        <v>16.4142</v>
      </c>
      <c r="E25" s="410">
        <f>ДифНорматив!C69</f>
        <v>0.03115367311584382</v>
      </c>
      <c r="F25" s="374">
        <f>ДифНорматив!D69</f>
        <v>978000</v>
      </c>
      <c r="G25" s="422">
        <f t="shared" si="0"/>
        <v>0.5210857142857143</v>
      </c>
    </row>
    <row r="26" spans="1:7" ht="18" customHeight="1">
      <c r="A26" s="372">
        <f>ДифНорматив!A70</f>
        <v>6</v>
      </c>
      <c r="B26" s="372" t="str">
        <f>ДифНорматив!B70</f>
        <v>МО "Киземское"</v>
      </c>
      <c r="C26" s="372">
        <f>ДифНорматив!C14</f>
        <v>39.9</v>
      </c>
      <c r="D26" s="409">
        <f>ДифНорматив!C33</f>
        <v>16.37868</v>
      </c>
      <c r="E26" s="410">
        <f>ДифНорматив!C70</f>
        <v>0.031086257191273947</v>
      </c>
      <c r="F26" s="374">
        <f>ДифНорматив!D70</f>
        <v>976000</v>
      </c>
      <c r="G26" s="422">
        <f t="shared" si="0"/>
        <v>0.41049323308270674</v>
      </c>
    </row>
    <row r="27" spans="1:7" ht="18" customHeight="1">
      <c r="A27" s="372">
        <f>ДифНорматив!A71</f>
        <v>7</v>
      </c>
      <c r="B27" s="372" t="str">
        <f>ДифНорматив!B71</f>
        <v>МО "Лихачевское"</v>
      </c>
      <c r="C27" s="372">
        <f>ДифНорматив!C15</f>
        <v>27.6</v>
      </c>
      <c r="D27" s="409">
        <f>ДифНорматив!C34</f>
        <v>11.685960000000001</v>
      </c>
      <c r="E27" s="410">
        <f>ДифНорматив!C71</f>
        <v>0.022179611426985553</v>
      </c>
      <c r="F27" s="374">
        <f>ДифНорматив!D71</f>
        <v>696000</v>
      </c>
      <c r="G27" s="422">
        <f t="shared" si="0"/>
        <v>0.423404347826087</v>
      </c>
    </row>
    <row r="28" spans="1:7" ht="18" customHeight="1">
      <c r="A28" s="372">
        <f>ДифНорматив!A72</f>
        <v>8</v>
      </c>
      <c r="B28" s="372" t="str">
        <f>ДифНорматив!B72</f>
        <v>МО "Лойгинское"</v>
      </c>
      <c r="C28" s="372">
        <f>ДифНорматив!C16</f>
        <v>20.5</v>
      </c>
      <c r="D28" s="409">
        <f>ДифНорматив!C35</f>
        <v>12.642740000000002</v>
      </c>
      <c r="E28" s="410">
        <f>ДифНорматив!C72</f>
        <v>0.02399555197625247</v>
      </c>
      <c r="F28" s="374">
        <f>ДифНорматив!D72</f>
        <v>753000</v>
      </c>
      <c r="G28" s="423">
        <f t="shared" si="0"/>
        <v>0.616719024390244</v>
      </c>
    </row>
    <row r="29" spans="1:7" ht="18" customHeight="1">
      <c r="A29" s="372">
        <f>ДифНорматив!A73</f>
        <v>9</v>
      </c>
      <c r="B29" s="372" t="str">
        <f>ДифНорматив!B73</f>
        <v>МО "Малодорское"</v>
      </c>
      <c r="C29" s="372">
        <f>ДифНорматив!C17</f>
        <v>19.7</v>
      </c>
      <c r="D29" s="409">
        <f>ДифНорматив!C36</f>
        <v>14.074579999999997</v>
      </c>
      <c r="E29" s="410">
        <f>ДифНорматив!C73</f>
        <v>0.026713142557224415</v>
      </c>
      <c r="F29" s="374">
        <f>ДифНорматив!D73</f>
        <v>839000</v>
      </c>
      <c r="G29" s="423">
        <f t="shared" si="0"/>
        <v>0.7144456852791877</v>
      </c>
    </row>
    <row r="30" spans="1:7" ht="18" customHeight="1">
      <c r="A30" s="372">
        <f>ДифНорматив!A74</f>
        <v>10</v>
      </c>
      <c r="B30" s="372" t="str">
        <f>ДифНорматив!B74</f>
        <v>МО "Орловское"</v>
      </c>
      <c r="C30" s="372">
        <f>ДифНорматив!C18</f>
        <v>11.5</v>
      </c>
      <c r="D30" s="409">
        <f>ДифНорматив!C37</f>
        <v>6.17096</v>
      </c>
      <c r="E30" s="410">
        <f>ДифНорматив!C74</f>
        <v>0.01171230219267144</v>
      </c>
      <c r="F30" s="374">
        <f>ДифНорматив!D74</f>
        <v>368000</v>
      </c>
      <c r="G30" s="422">
        <f t="shared" si="0"/>
        <v>0.5366052173913044</v>
      </c>
    </row>
    <row r="31" spans="1:7" ht="18" customHeight="1">
      <c r="A31" s="372">
        <f>ДифНорматив!A75</f>
        <v>11</v>
      </c>
      <c r="B31" s="372" t="str">
        <f>ДифНорматив!B75</f>
        <v>МО "Плосское"</v>
      </c>
      <c r="C31" s="372">
        <f>ДифНорматив!C19</f>
        <v>21.9</v>
      </c>
      <c r="D31" s="409">
        <f>ДифНорматив!C38</f>
        <v>13.677919999999999</v>
      </c>
      <c r="E31" s="410">
        <f>ДифНорматив!C75</f>
        <v>0.02596029344011054</v>
      </c>
      <c r="F31" s="374">
        <f>ДифНорматив!D75</f>
        <v>815000</v>
      </c>
      <c r="G31" s="423">
        <f t="shared" si="0"/>
        <v>0.6245625570776255</v>
      </c>
    </row>
    <row r="32" spans="1:7" ht="18" customHeight="1">
      <c r="A32" s="372">
        <f>ДифНорматив!A76</f>
        <v>12</v>
      </c>
      <c r="B32" s="372" t="str">
        <f>ДифНорматив!B76</f>
        <v>МО "Ростовско - Минское"</v>
      </c>
      <c r="C32" s="372">
        <f>ДифНорматив!C20</f>
        <v>36.9</v>
      </c>
      <c r="D32" s="409">
        <f>ДифНорматив!C39</f>
        <v>16.932920000000003</v>
      </c>
      <c r="E32" s="410">
        <f>ДифНорматив!C76</f>
        <v>0.03213818855483266</v>
      </c>
      <c r="F32" s="374">
        <f>ДифНорматив!D76</f>
        <v>1009000</v>
      </c>
      <c r="G32" s="422">
        <f t="shared" si="0"/>
        <v>0.4588867208672088</v>
      </c>
    </row>
    <row r="33" spans="1:7" ht="18" customHeight="1">
      <c r="A33" s="372">
        <f>ДифНорматив!A77</f>
        <v>13</v>
      </c>
      <c r="B33" s="372" t="str">
        <f>ДифНорматив!B77</f>
        <v>МО "Синицкое"</v>
      </c>
      <c r="C33" s="372">
        <f>ДифНорматив!C21</f>
        <v>12</v>
      </c>
      <c r="D33" s="409">
        <f>ДифНорматив!C40</f>
        <v>7.7544</v>
      </c>
      <c r="E33" s="410">
        <f>ДифНорматив!C77</f>
        <v>0.014717625154408946</v>
      </c>
      <c r="F33" s="374">
        <f>ДифНорматив!D77</f>
        <v>462000</v>
      </c>
      <c r="G33" s="423">
        <f t="shared" si="0"/>
        <v>0.6462</v>
      </c>
    </row>
    <row r="34" spans="1:7" ht="18" customHeight="1">
      <c r="A34" s="372">
        <f>ДифНорматив!A78</f>
        <v>14</v>
      </c>
      <c r="B34" s="372" t="str">
        <f>ДифНорматив!B78</f>
        <v>МО "Строевское"</v>
      </c>
      <c r="C34" s="372">
        <f>ДифНорматив!C22</f>
        <v>22.4</v>
      </c>
      <c r="D34" s="409">
        <f>ДифНорматив!C41</f>
        <v>12.96398</v>
      </c>
      <c r="E34" s="410">
        <f>ДифНорматив!C78</f>
        <v>0.024605256131906332</v>
      </c>
      <c r="F34" s="374">
        <f>ДифНорматив!D78</f>
        <v>772000</v>
      </c>
      <c r="G34" s="422">
        <f t="shared" si="0"/>
        <v>0.5787491071428571</v>
      </c>
    </row>
    <row r="35" spans="1:7" ht="18" customHeight="1">
      <c r="A35" s="372">
        <f>ДифНорматив!A79</f>
        <v>15</v>
      </c>
      <c r="B35" s="372" t="str">
        <f>ДифНорматив!B79</f>
        <v>МО "Череновское"</v>
      </c>
      <c r="C35" s="372">
        <f>ДифНорматив!C23</f>
        <v>15.6</v>
      </c>
      <c r="D35" s="409">
        <f>ДифНорматив!C42</f>
        <v>7.743320000000001</v>
      </c>
      <c r="E35" s="410">
        <f>ДифНорматив!C79</f>
        <v>0.014696595637397848</v>
      </c>
      <c r="F35" s="374">
        <f>ДифНорматив!D79</f>
        <v>461000</v>
      </c>
      <c r="G35" s="422">
        <f t="shared" si="0"/>
        <v>0.49636666666666673</v>
      </c>
    </row>
    <row r="36" spans="1:7" ht="18" customHeight="1">
      <c r="A36" s="372">
        <f>ДифНорматив!A80</f>
        <v>16</v>
      </c>
      <c r="B36" s="372" t="str">
        <f>ДифНорматив!B80</f>
        <v>МО "Шангальское"</v>
      </c>
      <c r="C36" s="372">
        <f>ДифНорматив!C24</f>
        <v>54.8</v>
      </c>
      <c r="D36" s="409">
        <f>ДифНорматив!C43</f>
        <v>35.44714</v>
      </c>
      <c r="E36" s="410">
        <f>ДифНорматив!C80</f>
        <v>0.06727763841378513</v>
      </c>
      <c r="F36" s="374">
        <f>ДифНорматив!D80</f>
        <v>2112000</v>
      </c>
      <c r="G36" s="423">
        <f t="shared" si="0"/>
        <v>0.6468456204379562</v>
      </c>
    </row>
    <row r="37" spans="1:7" ht="18" customHeight="1">
      <c r="A37" s="372"/>
      <c r="B37" s="372" t="str">
        <f>ДифНорматив!B81</f>
        <v>МО "Уст.мун.район"</v>
      </c>
      <c r="C37" s="411">
        <f>ДифНорматив!G25</f>
        <v>357.70000000000005</v>
      </c>
      <c r="D37" s="409">
        <f>ДифНорматив!G44</f>
        <v>135.7108</v>
      </c>
      <c r="E37" s="410">
        <f>ДифНорматив!C81</f>
        <v>0.25757514234563106</v>
      </c>
      <c r="F37" s="374">
        <f>ДифНорматив!D81+367</f>
        <v>8085367</v>
      </c>
      <c r="G37" s="422">
        <f t="shared" si="0"/>
        <v>0.379398378529494</v>
      </c>
    </row>
    <row r="38" spans="1:7" ht="18" customHeight="1">
      <c r="A38" s="372"/>
      <c r="B38" s="372"/>
      <c r="C38" s="372">
        <f>SUM(C22:C37)</f>
        <v>753.8</v>
      </c>
      <c r="D38" s="409">
        <f>SUM(D22:D37)</f>
        <v>354.0843</v>
      </c>
      <c r="E38" s="410">
        <f>SUM(E22:E37)</f>
        <v>0.6720416796220575</v>
      </c>
      <c r="F38" s="374">
        <f>SUM(F22:F37)</f>
        <v>21095367</v>
      </c>
      <c r="G38" s="389">
        <f>F40*E38/100</f>
        <v>21095200.15166609</v>
      </c>
    </row>
    <row r="39" spans="1:6" ht="18" customHeight="1" thickBot="1">
      <c r="A39" s="372"/>
      <c r="B39" s="372" t="str">
        <f>ДифНорматив!B82</f>
        <v>итого:</v>
      </c>
      <c r="C39" s="372"/>
      <c r="D39" s="415"/>
      <c r="E39" s="416">
        <f>SUM(E21:E37)</f>
        <v>0.7758946967205997</v>
      </c>
      <c r="F39" s="419">
        <f>F38+F21</f>
        <v>24355284</v>
      </c>
    </row>
    <row r="40" spans="2:6" ht="18" customHeight="1">
      <c r="B40" s="412"/>
      <c r="D40" s="417">
        <f>ДифНорматив!B83</f>
        <v>5268.78482</v>
      </c>
      <c r="E40" s="418"/>
      <c r="F40" s="420">
        <f>ДифНорматив!B84*1000</f>
        <v>3138972000</v>
      </c>
    </row>
    <row r="41" spans="2:6" ht="18" customHeight="1" thickBot="1">
      <c r="B41" s="413"/>
      <c r="D41" s="496" t="s">
        <v>233</v>
      </c>
      <c r="E41" s="497"/>
      <c r="F41" s="498"/>
    </row>
    <row r="42" spans="4:6" ht="18" customHeight="1">
      <c r="D42" s="414"/>
      <c r="F42" s="402"/>
    </row>
  </sheetData>
  <sheetProtection/>
  <mergeCells count="5">
    <mergeCell ref="D41:F41"/>
    <mergeCell ref="B2:C2"/>
    <mergeCell ref="B8:E8"/>
    <mergeCell ref="B6:C6"/>
    <mergeCell ref="A19:F19"/>
  </mergeCells>
  <printOptions/>
  <pageMargins left="0" right="0" top="0" bottom="0" header="0" footer="0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03"/>
  <sheetViews>
    <sheetView zoomScalePageLayoutView="0" workbookViewId="0" topLeftCell="A85">
      <selection activeCell="P82" sqref="P82"/>
    </sheetView>
  </sheetViews>
  <sheetFormatPr defaultColWidth="8.625" defaultRowHeight="15" customHeight="1"/>
  <cols>
    <col min="1" max="1" width="8.625" style="11" customWidth="1"/>
    <col min="2" max="2" width="21.625" style="11" customWidth="1"/>
    <col min="3" max="6" width="8.625" style="11" customWidth="1"/>
    <col min="7" max="7" width="12.25390625" style="11" customWidth="1"/>
    <col min="8" max="15" width="8.625" style="11" customWidth="1"/>
    <col min="16" max="16" width="27.75390625" style="11" customWidth="1"/>
    <col min="17" max="16384" width="8.625" style="11" customWidth="1"/>
  </cols>
  <sheetData>
    <row r="1" spans="1:14" ht="15" customHeight="1">
      <c r="A1" s="569" t="s">
        <v>18</v>
      </c>
      <c r="B1" s="569" t="s">
        <v>2</v>
      </c>
      <c r="C1" s="568" t="s">
        <v>19</v>
      </c>
      <c r="D1" s="568"/>
      <c r="E1" s="568"/>
      <c r="F1" s="568"/>
      <c r="G1" s="568" t="s">
        <v>20</v>
      </c>
      <c r="H1" s="568"/>
      <c r="I1" s="568"/>
      <c r="J1" s="568"/>
      <c r="K1" s="570" t="s">
        <v>21</v>
      </c>
      <c r="L1" s="570"/>
      <c r="M1" s="570"/>
      <c r="N1" s="570"/>
    </row>
    <row r="2" spans="1:14" ht="15" customHeight="1">
      <c r="A2" s="569"/>
      <c r="B2" s="569"/>
      <c r="C2" s="12"/>
      <c r="D2" s="568" t="s">
        <v>22</v>
      </c>
      <c r="E2" s="568"/>
      <c r="F2" s="568"/>
      <c r="G2" s="12"/>
      <c r="H2" s="568" t="s">
        <v>22</v>
      </c>
      <c r="I2" s="568"/>
      <c r="J2" s="568"/>
      <c r="K2" s="568" t="s">
        <v>22</v>
      </c>
      <c r="L2" s="568"/>
      <c r="M2" s="568"/>
      <c r="N2" s="10"/>
    </row>
    <row r="3" spans="1:14" ht="15" customHeight="1">
      <c r="A3" s="13"/>
      <c r="B3" s="14"/>
      <c r="C3" s="15"/>
      <c r="D3" s="15" t="s">
        <v>23</v>
      </c>
      <c r="E3" s="15" t="s">
        <v>24</v>
      </c>
      <c r="F3" s="15" t="s">
        <v>25</v>
      </c>
      <c r="G3" s="15"/>
      <c r="H3" s="15" t="s">
        <v>23</v>
      </c>
      <c r="I3" s="15" t="s">
        <v>24</v>
      </c>
      <c r="J3" s="15" t="s">
        <v>25</v>
      </c>
      <c r="K3" s="15" t="s">
        <v>23</v>
      </c>
      <c r="L3" s="15" t="s">
        <v>24</v>
      </c>
      <c r="M3" s="15" t="s">
        <v>25</v>
      </c>
      <c r="N3" s="15"/>
    </row>
    <row r="4" spans="1:14" s="24" customFormat="1" ht="15" customHeight="1">
      <c r="A4" s="16">
        <v>1</v>
      </c>
      <c r="B4" s="17" t="s">
        <v>11</v>
      </c>
      <c r="C4" s="18">
        <f aca="true" t="shared" si="0" ref="C4:C20">D4+E4+F4</f>
        <v>87.80000000000001</v>
      </c>
      <c r="D4" s="19">
        <v>20.3</v>
      </c>
      <c r="E4" s="19">
        <v>53.6</v>
      </c>
      <c r="F4" s="19">
        <v>13.9</v>
      </c>
      <c r="G4" s="20">
        <f>H4+I4+J4</f>
        <v>28.3</v>
      </c>
      <c r="H4" s="21">
        <v>2</v>
      </c>
      <c r="I4" s="21">
        <v>0</v>
      </c>
      <c r="J4" s="21">
        <v>26.3</v>
      </c>
      <c r="K4" s="22">
        <f aca="true" t="shared" si="1" ref="K4:M19">H4+D4</f>
        <v>22.3</v>
      </c>
      <c r="L4" s="23">
        <f t="shared" si="1"/>
        <v>53.6</v>
      </c>
      <c r="M4" s="23">
        <f t="shared" si="1"/>
        <v>40.2</v>
      </c>
      <c r="N4" s="18">
        <f aca="true" t="shared" si="2" ref="N4:N19">K4+L4+M4</f>
        <v>116.10000000000001</v>
      </c>
    </row>
    <row r="5" spans="1:14" s="24" customFormat="1" ht="15" customHeight="1">
      <c r="A5" s="16">
        <v>2</v>
      </c>
      <c r="B5" s="17" t="s">
        <v>3</v>
      </c>
      <c r="C5" s="18">
        <f t="shared" si="0"/>
        <v>28.9</v>
      </c>
      <c r="D5" s="19">
        <v>1.8</v>
      </c>
      <c r="E5" s="19">
        <f>26.5-D5</f>
        <v>24.7</v>
      </c>
      <c r="F5" s="19">
        <f>28.9-E5-D5</f>
        <v>2.3999999999999995</v>
      </c>
      <c r="G5" s="20">
        <f aca="true" t="shared" si="3" ref="G5:G19">H5+I5+J5</f>
        <v>2.0999999999999996</v>
      </c>
      <c r="H5" s="21">
        <v>0</v>
      </c>
      <c r="I5" s="21">
        <v>1.4</v>
      </c>
      <c r="J5" s="21">
        <v>0.7</v>
      </c>
      <c r="K5" s="22">
        <f t="shared" si="1"/>
        <v>1.8</v>
      </c>
      <c r="L5" s="23">
        <f t="shared" si="1"/>
        <v>26.099999999999998</v>
      </c>
      <c r="M5" s="23">
        <f t="shared" si="1"/>
        <v>3.0999999999999996</v>
      </c>
      <c r="N5" s="18">
        <f t="shared" si="2"/>
        <v>31</v>
      </c>
    </row>
    <row r="6" spans="1:14" s="24" customFormat="1" ht="15" customHeight="1">
      <c r="A6" s="16">
        <v>3</v>
      </c>
      <c r="B6" s="17" t="s">
        <v>4</v>
      </c>
      <c r="C6" s="18">
        <f t="shared" si="0"/>
        <v>26.7</v>
      </c>
      <c r="D6" s="19">
        <v>1</v>
      </c>
      <c r="E6" s="19">
        <f>24.8-D6</f>
        <v>23.8</v>
      </c>
      <c r="F6" s="19">
        <f>26.7-D6-E6</f>
        <v>1.8999999999999986</v>
      </c>
      <c r="G6" s="20">
        <f t="shared" si="3"/>
        <v>21.5</v>
      </c>
      <c r="H6" s="21">
        <v>0</v>
      </c>
      <c r="I6" s="21">
        <v>19</v>
      </c>
      <c r="J6" s="21">
        <v>2.5</v>
      </c>
      <c r="K6" s="22">
        <f t="shared" si="1"/>
        <v>1</v>
      </c>
      <c r="L6" s="23">
        <f t="shared" si="1"/>
        <v>42.8</v>
      </c>
      <c r="M6" s="23">
        <f t="shared" si="1"/>
        <v>4.399999999999999</v>
      </c>
      <c r="N6" s="18">
        <f t="shared" si="2"/>
        <v>48.199999999999996</v>
      </c>
    </row>
    <row r="7" spans="1:14" s="24" customFormat="1" ht="15" customHeight="1">
      <c r="A7" s="16">
        <v>4</v>
      </c>
      <c r="B7" s="17" t="s">
        <v>5</v>
      </c>
      <c r="C7" s="18">
        <f t="shared" si="0"/>
        <v>23.9</v>
      </c>
      <c r="D7" s="19">
        <v>1.6</v>
      </c>
      <c r="E7" s="19">
        <f>5.9-D7</f>
        <v>4.300000000000001</v>
      </c>
      <c r="F7" s="19">
        <f>23.9-D7-E7</f>
        <v>17.999999999999996</v>
      </c>
      <c r="G7" s="20">
        <f t="shared" si="3"/>
        <v>9.9</v>
      </c>
      <c r="H7" s="21">
        <v>0</v>
      </c>
      <c r="I7" s="21">
        <v>0.5</v>
      </c>
      <c r="J7" s="21">
        <v>9.4</v>
      </c>
      <c r="K7" s="22">
        <f t="shared" si="1"/>
        <v>1.6</v>
      </c>
      <c r="L7" s="23">
        <f t="shared" si="1"/>
        <v>4.800000000000001</v>
      </c>
      <c r="M7" s="23">
        <f t="shared" si="1"/>
        <v>27.4</v>
      </c>
      <c r="N7" s="18">
        <f t="shared" si="2"/>
        <v>33.8</v>
      </c>
    </row>
    <row r="8" spans="1:14" ht="15" customHeight="1">
      <c r="A8" s="16">
        <v>5</v>
      </c>
      <c r="B8" s="25" t="s">
        <v>6</v>
      </c>
      <c r="C8" s="26">
        <f t="shared" si="0"/>
        <v>31.5</v>
      </c>
      <c r="D8" s="19">
        <v>3.7</v>
      </c>
      <c r="E8" s="19">
        <f>16.9-D8</f>
        <v>13.2</v>
      </c>
      <c r="F8" s="19">
        <f>31.5-E8-D8</f>
        <v>14.600000000000001</v>
      </c>
      <c r="G8" s="27">
        <f t="shared" si="3"/>
        <v>75.5</v>
      </c>
      <c r="H8" s="21">
        <v>0</v>
      </c>
      <c r="I8" s="21">
        <v>5.2</v>
      </c>
      <c r="J8" s="21">
        <v>70.3</v>
      </c>
      <c r="K8" s="28">
        <f t="shared" si="1"/>
        <v>3.7</v>
      </c>
      <c r="L8" s="29">
        <f t="shared" si="1"/>
        <v>18.4</v>
      </c>
      <c r="M8" s="29">
        <f t="shared" si="1"/>
        <v>84.9</v>
      </c>
      <c r="N8" s="26">
        <f t="shared" si="2"/>
        <v>107</v>
      </c>
    </row>
    <row r="9" spans="1:14" s="24" customFormat="1" ht="15" customHeight="1">
      <c r="A9" s="16">
        <v>6</v>
      </c>
      <c r="B9" s="17" t="s">
        <v>7</v>
      </c>
      <c r="C9" s="18">
        <f t="shared" si="0"/>
        <v>39.9</v>
      </c>
      <c r="D9" s="19">
        <v>3.3</v>
      </c>
      <c r="E9" s="19">
        <f>10.1-D9</f>
        <v>6.8</v>
      </c>
      <c r="F9" s="19">
        <f>39.9-D9-E9</f>
        <v>29.8</v>
      </c>
      <c r="G9" s="20">
        <f t="shared" si="3"/>
        <v>0</v>
      </c>
      <c r="H9" s="21">
        <v>0</v>
      </c>
      <c r="I9" s="21">
        <v>0</v>
      </c>
      <c r="J9" s="21">
        <v>0</v>
      </c>
      <c r="K9" s="22">
        <f t="shared" si="1"/>
        <v>3.3</v>
      </c>
      <c r="L9" s="23">
        <f t="shared" si="1"/>
        <v>6.8</v>
      </c>
      <c r="M9" s="23">
        <f t="shared" si="1"/>
        <v>29.8</v>
      </c>
      <c r="N9" s="18">
        <f t="shared" si="2"/>
        <v>39.9</v>
      </c>
    </row>
    <row r="10" spans="1:14" s="24" customFormat="1" ht="15" customHeight="1">
      <c r="A10" s="16">
        <v>7</v>
      </c>
      <c r="B10" s="17" t="s">
        <v>8</v>
      </c>
      <c r="C10" s="18">
        <f t="shared" si="0"/>
        <v>27.6</v>
      </c>
      <c r="D10" s="19">
        <v>0</v>
      </c>
      <c r="E10" s="19">
        <v>10.5</v>
      </c>
      <c r="F10" s="19">
        <f>27.6-D10-E10</f>
        <v>17.1</v>
      </c>
      <c r="G10" s="20">
        <f t="shared" si="3"/>
        <v>20</v>
      </c>
      <c r="H10" s="21">
        <v>0</v>
      </c>
      <c r="I10" s="21">
        <v>2</v>
      </c>
      <c r="J10" s="21">
        <v>18</v>
      </c>
      <c r="K10" s="22">
        <f t="shared" si="1"/>
        <v>0</v>
      </c>
      <c r="L10" s="23">
        <f t="shared" si="1"/>
        <v>12.5</v>
      </c>
      <c r="M10" s="23">
        <f t="shared" si="1"/>
        <v>35.1</v>
      </c>
      <c r="N10" s="18">
        <f t="shared" si="2"/>
        <v>47.6</v>
      </c>
    </row>
    <row r="11" spans="1:14" s="24" customFormat="1" ht="15" customHeight="1">
      <c r="A11" s="16">
        <v>8</v>
      </c>
      <c r="B11" s="17" t="s">
        <v>9</v>
      </c>
      <c r="C11" s="18">
        <f t="shared" si="0"/>
        <v>20.5</v>
      </c>
      <c r="D11" s="19">
        <v>5</v>
      </c>
      <c r="E11" s="19">
        <f>13.9-D11</f>
        <v>8.9</v>
      </c>
      <c r="F11" s="19">
        <f>20.5-D11-E11</f>
        <v>6.6</v>
      </c>
      <c r="G11" s="20">
        <f t="shared" si="3"/>
        <v>13.1</v>
      </c>
      <c r="H11" s="21">
        <v>0</v>
      </c>
      <c r="I11" s="21">
        <v>0</v>
      </c>
      <c r="J11" s="21">
        <v>13.1</v>
      </c>
      <c r="K11" s="22">
        <f t="shared" si="1"/>
        <v>5</v>
      </c>
      <c r="L11" s="23">
        <f t="shared" si="1"/>
        <v>8.9</v>
      </c>
      <c r="M11" s="23">
        <f t="shared" si="1"/>
        <v>19.7</v>
      </c>
      <c r="N11" s="18">
        <f t="shared" si="2"/>
        <v>33.6</v>
      </c>
    </row>
    <row r="12" spans="1:14" s="24" customFormat="1" ht="15" customHeight="1">
      <c r="A12" s="16">
        <v>9</v>
      </c>
      <c r="B12" s="17" t="s">
        <v>10</v>
      </c>
      <c r="C12" s="18">
        <f t="shared" si="0"/>
        <v>20.099999999999998</v>
      </c>
      <c r="D12" s="19">
        <v>1.9</v>
      </c>
      <c r="E12" s="19">
        <v>18.2</v>
      </c>
      <c r="F12" s="19">
        <f>20.1-D12-E12</f>
        <v>0</v>
      </c>
      <c r="G12" s="20">
        <f t="shared" si="3"/>
        <v>36.5</v>
      </c>
      <c r="H12" s="21">
        <v>0.6</v>
      </c>
      <c r="I12" s="21">
        <f>21.1</f>
        <v>21.1</v>
      </c>
      <c r="J12" s="21">
        <v>14.8</v>
      </c>
      <c r="K12" s="22">
        <f t="shared" si="1"/>
        <v>2.5</v>
      </c>
      <c r="L12" s="23">
        <f t="shared" si="1"/>
        <v>39.3</v>
      </c>
      <c r="M12" s="23">
        <f t="shared" si="1"/>
        <v>14.8</v>
      </c>
      <c r="N12" s="18">
        <f t="shared" si="2"/>
        <v>56.599999999999994</v>
      </c>
    </row>
    <row r="13" spans="1:14" s="24" customFormat="1" ht="15" customHeight="1">
      <c r="A13" s="16">
        <v>10</v>
      </c>
      <c r="B13" s="17" t="s">
        <v>12</v>
      </c>
      <c r="C13" s="18">
        <f t="shared" si="0"/>
        <v>11.5</v>
      </c>
      <c r="D13" s="19">
        <v>0.3</v>
      </c>
      <c r="E13" s="19">
        <f>7.7-D13</f>
        <v>7.4</v>
      </c>
      <c r="F13" s="19">
        <f>11.5-D13-E13</f>
        <v>3.799999999999999</v>
      </c>
      <c r="G13" s="20">
        <f t="shared" si="3"/>
        <v>1.4</v>
      </c>
      <c r="H13" s="21">
        <v>0</v>
      </c>
      <c r="I13" s="21">
        <v>0</v>
      </c>
      <c r="J13" s="21">
        <v>1.4</v>
      </c>
      <c r="K13" s="22">
        <f t="shared" si="1"/>
        <v>0.3</v>
      </c>
      <c r="L13" s="23">
        <f t="shared" si="1"/>
        <v>7.4</v>
      </c>
      <c r="M13" s="23">
        <f t="shared" si="1"/>
        <v>5.199999999999999</v>
      </c>
      <c r="N13" s="18">
        <f t="shared" si="2"/>
        <v>12.899999999999999</v>
      </c>
    </row>
    <row r="14" spans="1:14" s="24" customFormat="1" ht="15" customHeight="1">
      <c r="A14" s="16">
        <v>11</v>
      </c>
      <c r="B14" s="17" t="s">
        <v>13</v>
      </c>
      <c r="C14" s="18">
        <f t="shared" si="0"/>
        <v>21.9</v>
      </c>
      <c r="D14" s="19">
        <v>1.1</v>
      </c>
      <c r="E14" s="19">
        <f>19.5-1.1</f>
        <v>18.4</v>
      </c>
      <c r="F14" s="19">
        <f>21.9-D14-E14</f>
        <v>2.3999999999999986</v>
      </c>
      <c r="G14" s="20">
        <f t="shared" si="3"/>
        <v>17</v>
      </c>
      <c r="H14" s="21">
        <v>0</v>
      </c>
      <c r="I14" s="21">
        <v>0</v>
      </c>
      <c r="J14" s="21">
        <v>17</v>
      </c>
      <c r="K14" s="22">
        <f t="shared" si="1"/>
        <v>1.1</v>
      </c>
      <c r="L14" s="23">
        <f t="shared" si="1"/>
        <v>18.4</v>
      </c>
      <c r="M14" s="23">
        <f t="shared" si="1"/>
        <v>19.4</v>
      </c>
      <c r="N14" s="18">
        <f t="shared" si="2"/>
        <v>38.9</v>
      </c>
    </row>
    <row r="15" spans="1:14" s="24" customFormat="1" ht="15" customHeight="1">
      <c r="A15" s="16">
        <v>12</v>
      </c>
      <c r="B15" s="17" t="s">
        <v>26</v>
      </c>
      <c r="C15" s="18">
        <f t="shared" si="0"/>
        <v>36.9</v>
      </c>
      <c r="D15" s="19">
        <v>1.3</v>
      </c>
      <c r="E15" s="19">
        <v>15.1</v>
      </c>
      <c r="F15" s="19">
        <v>20.5</v>
      </c>
      <c r="G15" s="20">
        <f t="shared" si="3"/>
        <v>68.9</v>
      </c>
      <c r="H15" s="21">
        <v>0</v>
      </c>
      <c r="I15" s="21">
        <v>8.5</v>
      </c>
      <c r="J15" s="21">
        <v>60.4</v>
      </c>
      <c r="K15" s="22">
        <f t="shared" si="1"/>
        <v>1.3</v>
      </c>
      <c r="L15" s="23">
        <f t="shared" si="1"/>
        <v>23.6</v>
      </c>
      <c r="M15" s="23">
        <f t="shared" si="1"/>
        <v>80.9</v>
      </c>
      <c r="N15" s="18">
        <f t="shared" si="2"/>
        <v>105.80000000000001</v>
      </c>
    </row>
    <row r="16" spans="1:14" s="24" customFormat="1" ht="15" customHeight="1">
      <c r="A16" s="16">
        <v>13</v>
      </c>
      <c r="B16" s="17" t="s">
        <v>14</v>
      </c>
      <c r="C16" s="18">
        <f t="shared" si="0"/>
        <v>12</v>
      </c>
      <c r="D16" s="19">
        <v>0</v>
      </c>
      <c r="E16" s="19">
        <v>12</v>
      </c>
      <c r="F16" s="19">
        <f>12-D16-E16</f>
        <v>0</v>
      </c>
      <c r="G16" s="20">
        <f t="shared" si="3"/>
        <v>9</v>
      </c>
      <c r="H16" s="21">
        <v>0</v>
      </c>
      <c r="I16" s="21">
        <v>3</v>
      </c>
      <c r="J16" s="21">
        <v>6</v>
      </c>
      <c r="K16" s="22">
        <f t="shared" si="1"/>
        <v>0</v>
      </c>
      <c r="L16" s="23">
        <f t="shared" si="1"/>
        <v>15</v>
      </c>
      <c r="M16" s="23">
        <f t="shared" si="1"/>
        <v>6</v>
      </c>
      <c r="N16" s="18">
        <f t="shared" si="2"/>
        <v>21</v>
      </c>
    </row>
    <row r="17" spans="1:14" s="24" customFormat="1" ht="15" customHeight="1">
      <c r="A17" s="16">
        <v>14</v>
      </c>
      <c r="B17" s="17" t="s">
        <v>15</v>
      </c>
      <c r="C17" s="18">
        <f t="shared" si="0"/>
        <v>22.4</v>
      </c>
      <c r="D17" s="19">
        <v>0.1</v>
      </c>
      <c r="E17" s="19">
        <f>18.1-D17</f>
        <v>18</v>
      </c>
      <c r="F17" s="19">
        <f>22.4-D17-E17</f>
        <v>4.299999999999997</v>
      </c>
      <c r="G17" s="20">
        <f t="shared" si="3"/>
        <v>32.5</v>
      </c>
      <c r="H17" s="21">
        <v>0</v>
      </c>
      <c r="I17" s="21">
        <v>21</v>
      </c>
      <c r="J17" s="21">
        <v>11.5</v>
      </c>
      <c r="K17" s="22">
        <f t="shared" si="1"/>
        <v>0.1</v>
      </c>
      <c r="L17" s="23">
        <f t="shared" si="1"/>
        <v>39</v>
      </c>
      <c r="M17" s="23">
        <f t="shared" si="1"/>
        <v>15.799999999999997</v>
      </c>
      <c r="N17" s="18">
        <f t="shared" si="2"/>
        <v>54.9</v>
      </c>
    </row>
    <row r="18" spans="1:14" s="24" customFormat="1" ht="15" customHeight="1">
      <c r="A18" s="16">
        <v>15</v>
      </c>
      <c r="B18" s="17" t="s">
        <v>16</v>
      </c>
      <c r="C18" s="18">
        <f t="shared" si="0"/>
        <v>15.6</v>
      </c>
      <c r="D18" s="19">
        <v>0</v>
      </c>
      <c r="E18" s="19">
        <v>9.1</v>
      </c>
      <c r="F18" s="19">
        <v>6.5</v>
      </c>
      <c r="G18" s="20">
        <f t="shared" si="3"/>
        <v>2.5</v>
      </c>
      <c r="H18" s="21">
        <v>0</v>
      </c>
      <c r="I18" s="21">
        <v>0</v>
      </c>
      <c r="J18" s="21">
        <v>2.5</v>
      </c>
      <c r="K18" s="22">
        <f t="shared" si="1"/>
        <v>0</v>
      </c>
      <c r="L18" s="23">
        <f t="shared" si="1"/>
        <v>9.1</v>
      </c>
      <c r="M18" s="23">
        <f t="shared" si="1"/>
        <v>9</v>
      </c>
      <c r="N18" s="18">
        <f t="shared" si="2"/>
        <v>18.1</v>
      </c>
    </row>
    <row r="19" spans="1:14" s="24" customFormat="1" ht="15" customHeight="1">
      <c r="A19" s="16">
        <v>16</v>
      </c>
      <c r="B19" s="17" t="s">
        <v>17</v>
      </c>
      <c r="C19" s="18">
        <f t="shared" si="0"/>
        <v>54.8</v>
      </c>
      <c r="D19" s="19">
        <v>12.5</v>
      </c>
      <c r="E19" s="19">
        <f>42.6-D19</f>
        <v>30.1</v>
      </c>
      <c r="F19" s="19">
        <v>12.2</v>
      </c>
      <c r="G19" s="20">
        <f t="shared" si="3"/>
        <v>19.5</v>
      </c>
      <c r="H19" s="21">
        <v>0</v>
      </c>
      <c r="I19" s="21">
        <v>5.5</v>
      </c>
      <c r="J19" s="21">
        <v>14</v>
      </c>
      <c r="K19" s="22">
        <f t="shared" si="1"/>
        <v>12.5</v>
      </c>
      <c r="L19" s="23">
        <f t="shared" si="1"/>
        <v>35.6</v>
      </c>
      <c r="M19" s="23">
        <f t="shared" si="1"/>
        <v>26.2</v>
      </c>
      <c r="N19" s="18">
        <f t="shared" si="2"/>
        <v>74.3</v>
      </c>
    </row>
    <row r="20" spans="1:14" s="32" customFormat="1" ht="15" customHeight="1">
      <c r="A20" s="30"/>
      <c r="B20" s="30" t="s">
        <v>27</v>
      </c>
      <c r="C20" s="18">
        <f t="shared" si="0"/>
        <v>481.9999999999999</v>
      </c>
      <c r="D20" s="31">
        <f>SUM(D4:D19)</f>
        <v>53.9</v>
      </c>
      <c r="E20" s="31">
        <f>SUM(E4:E19)</f>
        <v>274.09999999999997</v>
      </c>
      <c r="F20" s="31">
        <f>SUM(F4:F19)</f>
        <v>153.99999999999994</v>
      </c>
      <c r="G20" s="18">
        <f>SUM(G4:G19)</f>
        <v>357.70000000000005</v>
      </c>
      <c r="H20" s="31">
        <f aca="true" t="shared" si="4" ref="H20:N20">SUM(H4:H19)</f>
        <v>2.6</v>
      </c>
      <c r="I20" s="31">
        <f t="shared" si="4"/>
        <v>87.2</v>
      </c>
      <c r="J20" s="31">
        <f t="shared" si="4"/>
        <v>267.9</v>
      </c>
      <c r="K20" s="18">
        <f t="shared" si="4"/>
        <v>56.5</v>
      </c>
      <c r="L20" s="18">
        <f t="shared" si="4"/>
        <v>361.30000000000007</v>
      </c>
      <c r="M20" s="18">
        <f t="shared" si="4"/>
        <v>421.9</v>
      </c>
      <c r="N20" s="18">
        <f t="shared" si="4"/>
        <v>839.7</v>
      </c>
    </row>
    <row r="21" spans="1:14" s="32" customFormat="1" ht="15" customHeight="1">
      <c r="A21" s="567"/>
      <c r="B21" s="567"/>
      <c r="C21" s="567"/>
      <c r="D21" s="567"/>
      <c r="E21" s="567"/>
      <c r="F21" s="567"/>
      <c r="G21" s="567"/>
      <c r="H21" s="567"/>
      <c r="I21" s="567"/>
      <c r="J21" s="567"/>
      <c r="K21" s="567"/>
      <c r="L21" s="567"/>
      <c r="M21" s="567"/>
      <c r="N21" s="567"/>
    </row>
    <row r="22" spans="1:14" ht="15" customHeight="1">
      <c r="A22" s="33"/>
      <c r="B22" s="33"/>
      <c r="C22" s="34"/>
      <c r="D22" s="35">
        <v>1</v>
      </c>
      <c r="E22" s="35">
        <v>0.723</v>
      </c>
      <c r="F22" s="35">
        <v>0.303</v>
      </c>
      <c r="G22" s="34"/>
      <c r="H22" s="35">
        <v>1</v>
      </c>
      <c r="I22" s="35">
        <v>0.723</v>
      </c>
      <c r="J22" s="35">
        <v>0.303</v>
      </c>
      <c r="K22" s="34"/>
      <c r="L22" s="35">
        <v>1</v>
      </c>
      <c r="M22" s="35">
        <v>0.723</v>
      </c>
      <c r="N22" s="35">
        <v>0.303</v>
      </c>
    </row>
    <row r="23" spans="1:14" ht="15" customHeight="1">
      <c r="A23" s="36">
        <v>1</v>
      </c>
      <c r="B23" s="37" t="s">
        <v>11</v>
      </c>
      <c r="C23" s="38">
        <f>D23+E23+F23</f>
        <v>63.264500000000005</v>
      </c>
      <c r="D23" s="39">
        <f>D4*$D$22</f>
        <v>20.3</v>
      </c>
      <c r="E23" s="39">
        <f>E4*$E$22</f>
        <v>38.7528</v>
      </c>
      <c r="F23" s="39">
        <f>F4*$F$22</f>
        <v>4.2116999999999996</v>
      </c>
      <c r="G23" s="38">
        <f>H23+I23+J23</f>
        <v>9.9689</v>
      </c>
      <c r="H23" s="39">
        <f>H4*$H$22</f>
        <v>2</v>
      </c>
      <c r="I23" s="39">
        <f>I4*$I$22</f>
        <v>0</v>
      </c>
      <c r="J23" s="39">
        <f>J4*$J$22</f>
        <v>7.9689</v>
      </c>
      <c r="K23" s="38">
        <f>L23+M23+N23</f>
        <v>73.2334</v>
      </c>
      <c r="L23" s="39">
        <f>D23+H23</f>
        <v>22.3</v>
      </c>
      <c r="M23" s="39">
        <f aca="true" t="shared" si="5" ref="M23:N38">E23+I23</f>
        <v>38.7528</v>
      </c>
      <c r="N23" s="39">
        <f t="shared" si="5"/>
        <v>12.180599999999998</v>
      </c>
    </row>
    <row r="24" spans="1:14" ht="15" customHeight="1">
      <c r="A24" s="16">
        <v>2</v>
      </c>
      <c r="B24" s="17" t="s">
        <v>3</v>
      </c>
      <c r="C24" s="38">
        <f aca="true" t="shared" si="6" ref="C24:C38">D24+E24+F24</f>
        <v>20.3853</v>
      </c>
      <c r="D24" s="39">
        <f aca="true" t="shared" si="7" ref="D24:D38">D5*$D$22</f>
        <v>1.8</v>
      </c>
      <c r="E24" s="39">
        <f aca="true" t="shared" si="8" ref="E24:E38">E5*$E$22</f>
        <v>17.8581</v>
      </c>
      <c r="F24" s="39">
        <f aca="true" t="shared" si="9" ref="F24:F38">F5*$F$22</f>
        <v>0.7271999999999998</v>
      </c>
      <c r="G24" s="38">
        <f aca="true" t="shared" si="10" ref="G24:G38">H24+I24+J24</f>
        <v>1.2243</v>
      </c>
      <c r="H24" s="39">
        <f aca="true" t="shared" si="11" ref="H24:H38">H5*$H$22</f>
        <v>0</v>
      </c>
      <c r="I24" s="39">
        <f aca="true" t="shared" si="12" ref="I24:I38">I5*$I$22</f>
        <v>1.0122</v>
      </c>
      <c r="J24" s="39">
        <f aca="true" t="shared" si="13" ref="J24:J38">J5*$J$22</f>
        <v>0.21209999999999998</v>
      </c>
      <c r="K24" s="38">
        <f aca="true" t="shared" si="14" ref="K24:K38">L24+M24+N24</f>
        <v>21.6096</v>
      </c>
      <c r="L24" s="39">
        <f aca="true" t="shared" si="15" ref="L24:L38">D24+H24</f>
        <v>1.8</v>
      </c>
      <c r="M24" s="39">
        <f t="shared" si="5"/>
        <v>18.8703</v>
      </c>
      <c r="N24" s="39">
        <f t="shared" si="5"/>
        <v>0.9392999999999998</v>
      </c>
    </row>
    <row r="25" spans="1:14" ht="15" customHeight="1">
      <c r="A25" s="16">
        <v>3</v>
      </c>
      <c r="B25" s="17" t="s">
        <v>4</v>
      </c>
      <c r="C25" s="38">
        <f t="shared" si="6"/>
        <v>18.7831</v>
      </c>
      <c r="D25" s="39">
        <f t="shared" si="7"/>
        <v>1</v>
      </c>
      <c r="E25" s="39">
        <f t="shared" si="8"/>
        <v>17.2074</v>
      </c>
      <c r="F25" s="39">
        <f t="shared" si="9"/>
        <v>0.5756999999999995</v>
      </c>
      <c r="G25" s="38">
        <f t="shared" si="10"/>
        <v>14.4945</v>
      </c>
      <c r="H25" s="39">
        <f t="shared" si="11"/>
        <v>0</v>
      </c>
      <c r="I25" s="39">
        <f t="shared" si="12"/>
        <v>13.737</v>
      </c>
      <c r="J25" s="39">
        <f t="shared" si="13"/>
        <v>0.7575</v>
      </c>
      <c r="K25" s="38">
        <f t="shared" si="14"/>
        <v>33.2776</v>
      </c>
      <c r="L25" s="39">
        <f t="shared" si="15"/>
        <v>1</v>
      </c>
      <c r="M25" s="39">
        <f t="shared" si="5"/>
        <v>30.9444</v>
      </c>
      <c r="N25" s="39">
        <f t="shared" si="5"/>
        <v>1.3331999999999995</v>
      </c>
    </row>
    <row r="26" spans="1:14" ht="15" customHeight="1">
      <c r="A26" s="16">
        <v>4</v>
      </c>
      <c r="B26" s="17" t="s">
        <v>5</v>
      </c>
      <c r="C26" s="38">
        <f t="shared" si="6"/>
        <v>10.162899999999999</v>
      </c>
      <c r="D26" s="39">
        <f t="shared" si="7"/>
        <v>1.6</v>
      </c>
      <c r="E26" s="39">
        <f t="shared" si="8"/>
        <v>3.1089</v>
      </c>
      <c r="F26" s="39">
        <f t="shared" si="9"/>
        <v>5.453999999999999</v>
      </c>
      <c r="G26" s="38">
        <f t="shared" si="10"/>
        <v>3.2096999999999998</v>
      </c>
      <c r="H26" s="39">
        <f t="shared" si="11"/>
        <v>0</v>
      </c>
      <c r="I26" s="39">
        <f t="shared" si="12"/>
        <v>0.3615</v>
      </c>
      <c r="J26" s="39">
        <f t="shared" si="13"/>
        <v>2.8482</v>
      </c>
      <c r="K26" s="38">
        <f t="shared" si="14"/>
        <v>13.372599999999998</v>
      </c>
      <c r="L26" s="39">
        <f t="shared" si="15"/>
        <v>1.6</v>
      </c>
      <c r="M26" s="39">
        <f t="shared" si="5"/>
        <v>3.4704</v>
      </c>
      <c r="N26" s="39">
        <f t="shared" si="5"/>
        <v>8.3022</v>
      </c>
    </row>
    <row r="27" spans="1:14" ht="15" customHeight="1">
      <c r="A27" s="16">
        <v>5</v>
      </c>
      <c r="B27" s="25" t="s">
        <v>6</v>
      </c>
      <c r="C27" s="38">
        <f t="shared" si="6"/>
        <v>17.6674</v>
      </c>
      <c r="D27" s="39">
        <f t="shared" si="7"/>
        <v>3.7</v>
      </c>
      <c r="E27" s="39">
        <f t="shared" si="8"/>
        <v>9.5436</v>
      </c>
      <c r="F27" s="39">
        <f t="shared" si="9"/>
        <v>4.4238</v>
      </c>
      <c r="G27" s="38">
        <f t="shared" si="10"/>
        <v>25.060499999999998</v>
      </c>
      <c r="H27" s="39">
        <f t="shared" si="11"/>
        <v>0</v>
      </c>
      <c r="I27" s="39">
        <f t="shared" si="12"/>
        <v>3.7596</v>
      </c>
      <c r="J27" s="39">
        <f t="shared" si="13"/>
        <v>21.3009</v>
      </c>
      <c r="K27" s="38">
        <f t="shared" si="14"/>
        <v>42.7279</v>
      </c>
      <c r="L27" s="39">
        <f t="shared" si="15"/>
        <v>3.7</v>
      </c>
      <c r="M27" s="39">
        <f t="shared" si="5"/>
        <v>13.3032</v>
      </c>
      <c r="N27" s="39">
        <f t="shared" si="5"/>
        <v>25.7247</v>
      </c>
    </row>
    <row r="28" spans="1:14" ht="15" customHeight="1">
      <c r="A28" s="16">
        <v>6</v>
      </c>
      <c r="B28" s="17" t="s">
        <v>7</v>
      </c>
      <c r="C28" s="38">
        <f t="shared" si="6"/>
        <v>17.245800000000003</v>
      </c>
      <c r="D28" s="39">
        <f t="shared" si="7"/>
        <v>3.3</v>
      </c>
      <c r="E28" s="39">
        <f t="shared" si="8"/>
        <v>4.916399999999999</v>
      </c>
      <c r="F28" s="39">
        <f t="shared" si="9"/>
        <v>9.0294</v>
      </c>
      <c r="G28" s="38">
        <f t="shared" si="10"/>
        <v>0</v>
      </c>
      <c r="H28" s="39">
        <f t="shared" si="11"/>
        <v>0</v>
      </c>
      <c r="I28" s="39">
        <f t="shared" si="12"/>
        <v>0</v>
      </c>
      <c r="J28" s="39">
        <f t="shared" si="13"/>
        <v>0</v>
      </c>
      <c r="K28" s="38">
        <f t="shared" si="14"/>
        <v>17.245800000000003</v>
      </c>
      <c r="L28" s="39">
        <f t="shared" si="15"/>
        <v>3.3</v>
      </c>
      <c r="M28" s="39">
        <f t="shared" si="5"/>
        <v>4.916399999999999</v>
      </c>
      <c r="N28" s="39">
        <f t="shared" si="5"/>
        <v>9.0294</v>
      </c>
    </row>
    <row r="29" spans="1:14" ht="15" customHeight="1">
      <c r="A29" s="16">
        <v>7</v>
      </c>
      <c r="B29" s="17" t="s">
        <v>8</v>
      </c>
      <c r="C29" s="38">
        <f t="shared" si="6"/>
        <v>12.7728</v>
      </c>
      <c r="D29" s="39">
        <f t="shared" si="7"/>
        <v>0</v>
      </c>
      <c r="E29" s="39">
        <f t="shared" si="8"/>
        <v>7.5915</v>
      </c>
      <c r="F29" s="39">
        <f t="shared" si="9"/>
        <v>5.1813</v>
      </c>
      <c r="G29" s="38">
        <f t="shared" si="10"/>
        <v>6.8999999999999995</v>
      </c>
      <c r="H29" s="39">
        <f t="shared" si="11"/>
        <v>0</v>
      </c>
      <c r="I29" s="39">
        <f t="shared" si="12"/>
        <v>1.446</v>
      </c>
      <c r="J29" s="39">
        <f t="shared" si="13"/>
        <v>5.454</v>
      </c>
      <c r="K29" s="38">
        <f t="shared" si="14"/>
        <v>19.672800000000002</v>
      </c>
      <c r="L29" s="39">
        <f t="shared" si="15"/>
        <v>0</v>
      </c>
      <c r="M29" s="39">
        <f t="shared" si="5"/>
        <v>9.0375</v>
      </c>
      <c r="N29" s="39">
        <f t="shared" si="5"/>
        <v>10.6353</v>
      </c>
    </row>
    <row r="30" spans="1:14" ht="15" customHeight="1">
      <c r="A30" s="16">
        <v>8</v>
      </c>
      <c r="B30" s="17" t="s">
        <v>9</v>
      </c>
      <c r="C30" s="38">
        <f t="shared" si="6"/>
        <v>13.4345</v>
      </c>
      <c r="D30" s="39">
        <f t="shared" si="7"/>
        <v>5</v>
      </c>
      <c r="E30" s="39">
        <f t="shared" si="8"/>
        <v>6.4347</v>
      </c>
      <c r="F30" s="39">
        <f t="shared" si="9"/>
        <v>1.9997999999999998</v>
      </c>
      <c r="G30" s="38">
        <f t="shared" si="10"/>
        <v>3.9692999999999996</v>
      </c>
      <c r="H30" s="39">
        <f t="shared" si="11"/>
        <v>0</v>
      </c>
      <c r="I30" s="39">
        <f t="shared" si="12"/>
        <v>0</v>
      </c>
      <c r="J30" s="39">
        <f t="shared" si="13"/>
        <v>3.9692999999999996</v>
      </c>
      <c r="K30" s="38">
        <f t="shared" si="14"/>
        <v>17.403799999999997</v>
      </c>
      <c r="L30" s="39">
        <f t="shared" si="15"/>
        <v>5</v>
      </c>
      <c r="M30" s="39">
        <f t="shared" si="5"/>
        <v>6.4347</v>
      </c>
      <c r="N30" s="39">
        <f t="shared" si="5"/>
        <v>5.969099999999999</v>
      </c>
    </row>
    <row r="31" spans="1:14" ht="15" customHeight="1">
      <c r="A31" s="16">
        <v>9</v>
      </c>
      <c r="B31" s="17" t="s">
        <v>10</v>
      </c>
      <c r="C31" s="38">
        <f t="shared" si="6"/>
        <v>15.0586</v>
      </c>
      <c r="D31" s="39">
        <f t="shared" si="7"/>
        <v>1.9</v>
      </c>
      <c r="E31" s="39">
        <f t="shared" si="8"/>
        <v>13.1586</v>
      </c>
      <c r="F31" s="39">
        <f t="shared" si="9"/>
        <v>0</v>
      </c>
      <c r="G31" s="38">
        <f t="shared" si="10"/>
        <v>20.3397</v>
      </c>
      <c r="H31" s="39">
        <f t="shared" si="11"/>
        <v>0.6</v>
      </c>
      <c r="I31" s="39">
        <f t="shared" si="12"/>
        <v>15.2553</v>
      </c>
      <c r="J31" s="39">
        <f t="shared" si="13"/>
        <v>4.4844</v>
      </c>
      <c r="K31" s="38">
        <f t="shared" si="14"/>
        <v>35.3983</v>
      </c>
      <c r="L31" s="39">
        <f t="shared" si="15"/>
        <v>2.5</v>
      </c>
      <c r="M31" s="39">
        <f t="shared" si="5"/>
        <v>28.413899999999998</v>
      </c>
      <c r="N31" s="39">
        <f t="shared" si="5"/>
        <v>4.4844</v>
      </c>
    </row>
    <row r="32" spans="1:14" ht="15" customHeight="1">
      <c r="A32" s="16">
        <v>10</v>
      </c>
      <c r="B32" s="17" t="s">
        <v>12</v>
      </c>
      <c r="C32" s="38">
        <f t="shared" si="6"/>
        <v>6.8016</v>
      </c>
      <c r="D32" s="39">
        <f t="shared" si="7"/>
        <v>0.3</v>
      </c>
      <c r="E32" s="39">
        <f t="shared" si="8"/>
        <v>5.3502</v>
      </c>
      <c r="F32" s="39">
        <f t="shared" si="9"/>
        <v>1.1513999999999995</v>
      </c>
      <c r="G32" s="38">
        <f t="shared" si="10"/>
        <v>0.42419999999999997</v>
      </c>
      <c r="H32" s="39">
        <f t="shared" si="11"/>
        <v>0</v>
      </c>
      <c r="I32" s="39">
        <f t="shared" si="12"/>
        <v>0</v>
      </c>
      <c r="J32" s="39">
        <f t="shared" si="13"/>
        <v>0.42419999999999997</v>
      </c>
      <c r="K32" s="38">
        <f t="shared" si="14"/>
        <v>7.2258</v>
      </c>
      <c r="L32" s="39">
        <f t="shared" si="15"/>
        <v>0.3</v>
      </c>
      <c r="M32" s="39">
        <f t="shared" si="5"/>
        <v>5.3502</v>
      </c>
      <c r="N32" s="39">
        <f t="shared" si="5"/>
        <v>1.5755999999999994</v>
      </c>
    </row>
    <row r="33" spans="1:14" ht="15" customHeight="1">
      <c r="A33" s="16">
        <v>11</v>
      </c>
      <c r="B33" s="17" t="s">
        <v>13</v>
      </c>
      <c r="C33" s="38">
        <f t="shared" si="6"/>
        <v>15.130399999999998</v>
      </c>
      <c r="D33" s="39">
        <f t="shared" si="7"/>
        <v>1.1</v>
      </c>
      <c r="E33" s="39">
        <f t="shared" si="8"/>
        <v>13.303199999999999</v>
      </c>
      <c r="F33" s="39">
        <f t="shared" si="9"/>
        <v>0.7271999999999995</v>
      </c>
      <c r="G33" s="38">
        <f t="shared" si="10"/>
        <v>5.151</v>
      </c>
      <c r="H33" s="39">
        <f t="shared" si="11"/>
        <v>0</v>
      </c>
      <c r="I33" s="39">
        <f t="shared" si="12"/>
        <v>0</v>
      </c>
      <c r="J33" s="39">
        <f t="shared" si="13"/>
        <v>5.151</v>
      </c>
      <c r="K33" s="38">
        <f t="shared" si="14"/>
        <v>20.281399999999998</v>
      </c>
      <c r="L33" s="39">
        <f t="shared" si="15"/>
        <v>1.1</v>
      </c>
      <c r="M33" s="39">
        <f t="shared" si="5"/>
        <v>13.303199999999999</v>
      </c>
      <c r="N33" s="39">
        <f t="shared" si="5"/>
        <v>5.8782</v>
      </c>
    </row>
    <row r="34" spans="1:14" ht="15" customHeight="1">
      <c r="A34" s="16">
        <v>12</v>
      </c>
      <c r="B34" s="17" t="s">
        <v>26</v>
      </c>
      <c r="C34" s="38">
        <f t="shared" si="6"/>
        <v>18.4288</v>
      </c>
      <c r="D34" s="39">
        <f t="shared" si="7"/>
        <v>1.3</v>
      </c>
      <c r="E34" s="39">
        <f t="shared" si="8"/>
        <v>10.9173</v>
      </c>
      <c r="F34" s="39">
        <f t="shared" si="9"/>
        <v>6.2115</v>
      </c>
      <c r="G34" s="38">
        <f t="shared" si="10"/>
        <v>24.4467</v>
      </c>
      <c r="H34" s="39">
        <f t="shared" si="11"/>
        <v>0</v>
      </c>
      <c r="I34" s="39">
        <f t="shared" si="12"/>
        <v>6.1455</v>
      </c>
      <c r="J34" s="39">
        <f t="shared" si="13"/>
        <v>18.301199999999998</v>
      </c>
      <c r="K34" s="38">
        <f t="shared" si="14"/>
        <v>42.8755</v>
      </c>
      <c r="L34" s="39">
        <f t="shared" si="15"/>
        <v>1.3</v>
      </c>
      <c r="M34" s="39">
        <f t="shared" si="5"/>
        <v>17.0628</v>
      </c>
      <c r="N34" s="39">
        <f t="shared" si="5"/>
        <v>24.5127</v>
      </c>
    </row>
    <row r="35" spans="1:14" ht="15" customHeight="1">
      <c r="A35" s="16">
        <v>13</v>
      </c>
      <c r="B35" s="17" t="s">
        <v>14</v>
      </c>
      <c r="C35" s="38">
        <f t="shared" si="6"/>
        <v>8.676</v>
      </c>
      <c r="D35" s="39">
        <f t="shared" si="7"/>
        <v>0</v>
      </c>
      <c r="E35" s="39">
        <f t="shared" si="8"/>
        <v>8.676</v>
      </c>
      <c r="F35" s="39">
        <f t="shared" si="9"/>
        <v>0</v>
      </c>
      <c r="G35" s="38">
        <f t="shared" si="10"/>
        <v>3.987</v>
      </c>
      <c r="H35" s="39">
        <f t="shared" si="11"/>
        <v>0</v>
      </c>
      <c r="I35" s="39">
        <f t="shared" si="12"/>
        <v>2.169</v>
      </c>
      <c r="J35" s="39">
        <f t="shared" si="13"/>
        <v>1.818</v>
      </c>
      <c r="K35" s="38">
        <f t="shared" si="14"/>
        <v>12.663</v>
      </c>
      <c r="L35" s="39">
        <f t="shared" si="15"/>
        <v>0</v>
      </c>
      <c r="M35" s="39">
        <f t="shared" si="5"/>
        <v>10.845</v>
      </c>
      <c r="N35" s="39">
        <f t="shared" si="5"/>
        <v>1.818</v>
      </c>
    </row>
    <row r="36" spans="1:14" ht="15" customHeight="1">
      <c r="A36" s="16">
        <v>14</v>
      </c>
      <c r="B36" s="17" t="s">
        <v>15</v>
      </c>
      <c r="C36" s="38">
        <f t="shared" si="6"/>
        <v>14.416899999999998</v>
      </c>
      <c r="D36" s="39">
        <f t="shared" si="7"/>
        <v>0.1</v>
      </c>
      <c r="E36" s="39">
        <f t="shared" si="8"/>
        <v>13.014</v>
      </c>
      <c r="F36" s="39">
        <f t="shared" si="9"/>
        <v>1.302899999999999</v>
      </c>
      <c r="G36" s="38">
        <f t="shared" si="10"/>
        <v>18.6675</v>
      </c>
      <c r="H36" s="39">
        <f t="shared" si="11"/>
        <v>0</v>
      </c>
      <c r="I36" s="39">
        <f t="shared" si="12"/>
        <v>15.183</v>
      </c>
      <c r="J36" s="39">
        <f t="shared" si="13"/>
        <v>3.4844999999999997</v>
      </c>
      <c r="K36" s="38">
        <f t="shared" si="14"/>
        <v>33.0844</v>
      </c>
      <c r="L36" s="39">
        <f t="shared" si="15"/>
        <v>0.1</v>
      </c>
      <c r="M36" s="39">
        <f t="shared" si="5"/>
        <v>28.197</v>
      </c>
      <c r="N36" s="39">
        <f t="shared" si="5"/>
        <v>4.787399999999999</v>
      </c>
    </row>
    <row r="37" spans="1:14" ht="15" customHeight="1">
      <c r="A37" s="16">
        <v>15</v>
      </c>
      <c r="B37" s="17" t="s">
        <v>16</v>
      </c>
      <c r="C37" s="38">
        <f t="shared" si="6"/>
        <v>8.5488</v>
      </c>
      <c r="D37" s="39">
        <f t="shared" si="7"/>
        <v>0</v>
      </c>
      <c r="E37" s="39">
        <f t="shared" si="8"/>
        <v>6.5793</v>
      </c>
      <c r="F37" s="39">
        <f t="shared" si="9"/>
        <v>1.9695</v>
      </c>
      <c r="G37" s="38">
        <f t="shared" si="10"/>
        <v>0.7575</v>
      </c>
      <c r="H37" s="39">
        <f t="shared" si="11"/>
        <v>0</v>
      </c>
      <c r="I37" s="39">
        <f t="shared" si="12"/>
        <v>0</v>
      </c>
      <c r="J37" s="39">
        <f t="shared" si="13"/>
        <v>0.7575</v>
      </c>
      <c r="K37" s="38">
        <f t="shared" si="14"/>
        <v>9.3063</v>
      </c>
      <c r="L37" s="39">
        <f t="shared" si="15"/>
        <v>0</v>
      </c>
      <c r="M37" s="39">
        <f t="shared" si="5"/>
        <v>6.5793</v>
      </c>
      <c r="N37" s="39">
        <f t="shared" si="5"/>
        <v>2.727</v>
      </c>
    </row>
    <row r="38" spans="1:14" ht="15" customHeight="1">
      <c r="A38" s="16">
        <v>16</v>
      </c>
      <c r="B38" s="17" t="s">
        <v>17</v>
      </c>
      <c r="C38" s="38">
        <f t="shared" si="6"/>
        <v>37.95889999999999</v>
      </c>
      <c r="D38" s="39">
        <f t="shared" si="7"/>
        <v>12.5</v>
      </c>
      <c r="E38" s="39">
        <f t="shared" si="8"/>
        <v>21.7623</v>
      </c>
      <c r="F38" s="39">
        <f t="shared" si="9"/>
        <v>3.6965999999999997</v>
      </c>
      <c r="G38" s="38">
        <f t="shared" si="10"/>
        <v>8.218499999999999</v>
      </c>
      <c r="H38" s="39">
        <f t="shared" si="11"/>
        <v>0</v>
      </c>
      <c r="I38" s="39">
        <f t="shared" si="12"/>
        <v>3.9764999999999997</v>
      </c>
      <c r="J38" s="39">
        <f t="shared" si="13"/>
        <v>4.242</v>
      </c>
      <c r="K38" s="38">
        <f t="shared" si="14"/>
        <v>46.1774</v>
      </c>
      <c r="L38" s="39">
        <f t="shared" si="15"/>
        <v>12.5</v>
      </c>
      <c r="M38" s="39">
        <f t="shared" si="5"/>
        <v>25.738799999999998</v>
      </c>
      <c r="N38" s="39">
        <f t="shared" si="5"/>
        <v>7.938599999999999</v>
      </c>
    </row>
    <row r="39" spans="1:14" ht="15" customHeight="1">
      <c r="A39" s="30"/>
      <c r="B39" s="30" t="s">
        <v>27</v>
      </c>
      <c r="C39" s="40">
        <f>SUM(C23:C38)</f>
        <v>298.73629999999997</v>
      </c>
      <c r="D39" s="38">
        <f aca="true" t="shared" si="16" ref="D39:N39">SUM(D23:D38)</f>
        <v>53.9</v>
      </c>
      <c r="E39" s="38">
        <f t="shared" si="16"/>
        <v>198.17430000000002</v>
      </c>
      <c r="F39" s="38">
        <f t="shared" si="16"/>
        <v>46.662</v>
      </c>
      <c r="G39" s="40">
        <f t="shared" si="16"/>
        <v>146.81929999999997</v>
      </c>
      <c r="H39" s="38">
        <f t="shared" si="16"/>
        <v>2.6</v>
      </c>
      <c r="I39" s="40">
        <f t="shared" si="16"/>
        <v>63.0456</v>
      </c>
      <c r="J39" s="40">
        <f t="shared" si="16"/>
        <v>81.17369999999998</v>
      </c>
      <c r="K39" s="97">
        <f t="shared" si="16"/>
        <v>445.5556</v>
      </c>
      <c r="L39" s="38">
        <f t="shared" si="16"/>
        <v>56.5</v>
      </c>
      <c r="M39" s="38">
        <f t="shared" si="16"/>
        <v>261.2199</v>
      </c>
      <c r="N39" s="38">
        <f t="shared" si="16"/>
        <v>127.83569999999999</v>
      </c>
    </row>
    <row r="40" spans="1:14" ht="15" customHeight="1">
      <c r="A40" s="567"/>
      <c r="B40" s="567"/>
      <c r="C40" s="567"/>
      <c r="D40" s="567"/>
      <c r="E40" s="567"/>
      <c r="F40" s="567"/>
      <c r="G40" s="567"/>
      <c r="H40" s="567"/>
      <c r="I40" s="567"/>
      <c r="J40" s="567"/>
      <c r="K40" s="567"/>
      <c r="L40" s="567"/>
      <c r="M40" s="567"/>
      <c r="N40" s="567"/>
    </row>
    <row r="41" spans="1:14" ht="15" customHeight="1">
      <c r="A41" s="33"/>
      <c r="B41" s="41">
        <v>0.8786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</row>
    <row r="42" spans="1:16" ht="15" customHeight="1">
      <c r="A42" s="36">
        <v>1</v>
      </c>
      <c r="B42" s="37" t="s">
        <v>11</v>
      </c>
      <c r="C42" s="43">
        <f>$B$41/$K$39*C23</f>
        <v>0.1247525330172037</v>
      </c>
      <c r="D42" s="564">
        <f>C23/$K$39*$B$59</f>
        <v>4189688.7280734438</v>
      </c>
      <c r="E42" s="565"/>
      <c r="F42" s="566"/>
      <c r="G42" s="43">
        <f>$B$41/$K$39*G23</f>
        <v>0.01965787331592286</v>
      </c>
      <c r="H42" s="564">
        <f>G23/$K$39*$B$59</f>
        <v>660189.9637441433</v>
      </c>
      <c r="I42" s="565"/>
      <c r="J42" s="566"/>
      <c r="K42" s="43">
        <f>C42+G42</f>
        <v>0.14441040633312655</v>
      </c>
      <c r="L42" s="564">
        <f>D42+H42</f>
        <v>4849878.691817587</v>
      </c>
      <c r="M42" s="565"/>
      <c r="N42" s="566"/>
      <c r="O42" s="44"/>
      <c r="P42" s="45"/>
    </row>
    <row r="43" spans="1:16" ht="15" customHeight="1">
      <c r="A43" s="16">
        <v>2</v>
      </c>
      <c r="B43" s="17" t="s">
        <v>3</v>
      </c>
      <c r="C43" s="43">
        <f aca="true" t="shared" si="17" ref="C43:C57">$B$41/$K$39*C24</f>
        <v>0.040198180833099166</v>
      </c>
      <c r="D43" s="564">
        <f aca="true" t="shared" si="18" ref="D43:D57">C24/$K$39*$B$59</f>
        <v>1350015.5952927086</v>
      </c>
      <c r="E43" s="565"/>
      <c r="F43" s="566"/>
      <c r="G43" s="43">
        <f aca="true" t="shared" si="19" ref="G43:G57">$B$41/$K$39*G24</f>
        <v>0.0024142216594292606</v>
      </c>
      <c r="H43" s="564">
        <f aca="true" t="shared" si="20" ref="H43:H56">G24/$K$39*$B$59</f>
        <v>81079.21361553977</v>
      </c>
      <c r="I43" s="565"/>
      <c r="J43" s="566"/>
      <c r="K43" s="43">
        <f aca="true" t="shared" si="21" ref="K43:L57">C43+G43</f>
        <v>0.04261240249252843</v>
      </c>
      <c r="L43" s="564">
        <f t="shared" si="21"/>
        <v>1431094.8089082483</v>
      </c>
      <c r="M43" s="565"/>
      <c r="N43" s="566"/>
      <c r="P43" s="45"/>
    </row>
    <row r="44" spans="1:16" ht="15" customHeight="1">
      <c r="A44" s="16">
        <v>3</v>
      </c>
      <c r="B44" s="17" t="s">
        <v>4</v>
      </c>
      <c r="C44" s="43">
        <f t="shared" si="17"/>
        <v>0.03703877060461141</v>
      </c>
      <c r="D44" s="564">
        <f t="shared" si="18"/>
        <v>1243909.9708094792</v>
      </c>
      <c r="E44" s="565"/>
      <c r="F44" s="566"/>
      <c r="G44" s="43">
        <f t="shared" si="19"/>
        <v>0.028581994480599053</v>
      </c>
      <c r="H44" s="564">
        <f t="shared" si="20"/>
        <v>959897.6245613343</v>
      </c>
      <c r="I44" s="565"/>
      <c r="J44" s="566"/>
      <c r="K44" s="43">
        <f t="shared" si="21"/>
        <v>0.06562076508521046</v>
      </c>
      <c r="L44" s="564">
        <f t="shared" si="21"/>
        <v>2203807.5953708133</v>
      </c>
      <c r="M44" s="565"/>
      <c r="N44" s="566"/>
      <c r="P44" s="45"/>
    </row>
    <row r="45" spans="1:16" ht="15" customHeight="1">
      <c r="A45" s="16">
        <v>4</v>
      </c>
      <c r="B45" s="17" t="s">
        <v>5</v>
      </c>
      <c r="C45" s="43">
        <f t="shared" si="17"/>
        <v>0.02004042579646625</v>
      </c>
      <c r="D45" s="564">
        <f t="shared" si="18"/>
        <v>673037.6052057251</v>
      </c>
      <c r="E45" s="565"/>
      <c r="F45" s="566"/>
      <c r="G45" s="43">
        <f t="shared" si="19"/>
        <v>0.00632927163299036</v>
      </c>
      <c r="H45" s="564">
        <f t="shared" si="20"/>
        <v>212562.24123319288</v>
      </c>
      <c r="I45" s="565"/>
      <c r="J45" s="566"/>
      <c r="K45" s="43">
        <f t="shared" si="21"/>
        <v>0.02636969742945661</v>
      </c>
      <c r="L45" s="564">
        <f t="shared" si="21"/>
        <v>885599.8464389179</v>
      </c>
      <c r="M45" s="565"/>
      <c r="N45" s="566"/>
      <c r="P45" s="45"/>
    </row>
    <row r="46" spans="1:16" ht="15" customHeight="1">
      <c r="A46" s="16">
        <v>5</v>
      </c>
      <c r="B46" s="25" t="s">
        <v>6</v>
      </c>
      <c r="C46" s="43">
        <f t="shared" si="17"/>
        <v>0.03483869945748634</v>
      </c>
      <c r="D46" s="564">
        <f t="shared" si="18"/>
        <v>1170022.7874141857</v>
      </c>
      <c r="E46" s="565"/>
      <c r="F46" s="566"/>
      <c r="G46" s="43">
        <f t="shared" si="19"/>
        <v>0.04941730123019438</v>
      </c>
      <c r="H46" s="564">
        <f t="shared" si="20"/>
        <v>1659630.5095256348</v>
      </c>
      <c r="I46" s="565"/>
      <c r="J46" s="566"/>
      <c r="K46" s="43">
        <f t="shared" si="21"/>
        <v>0.08425600068768072</v>
      </c>
      <c r="L46" s="564">
        <f t="shared" si="21"/>
        <v>2829653.2969398205</v>
      </c>
      <c r="M46" s="565"/>
      <c r="N46" s="566"/>
      <c r="P46" s="45"/>
    </row>
    <row r="47" spans="1:16" ht="15" customHeight="1">
      <c r="A47" s="16">
        <v>6</v>
      </c>
      <c r="B47" s="17" t="s">
        <v>7</v>
      </c>
      <c r="C47" s="43">
        <f t="shared" si="17"/>
        <v>0.03400733798430544</v>
      </c>
      <c r="D47" s="564">
        <f t="shared" si="18"/>
        <v>1142102.345969841</v>
      </c>
      <c r="E47" s="565"/>
      <c r="F47" s="566"/>
      <c r="G47" s="43">
        <f t="shared" si="19"/>
        <v>0</v>
      </c>
      <c r="H47" s="564">
        <f t="shared" si="20"/>
        <v>0</v>
      </c>
      <c r="I47" s="565"/>
      <c r="J47" s="566"/>
      <c r="K47" s="43">
        <f t="shared" si="21"/>
        <v>0.03400733798430544</v>
      </c>
      <c r="L47" s="564">
        <f t="shared" si="21"/>
        <v>1142102.345969841</v>
      </c>
      <c r="M47" s="565"/>
      <c r="N47" s="566"/>
      <c r="P47" s="45"/>
    </row>
    <row r="48" spans="1:16" ht="15" customHeight="1">
      <c r="A48" s="16">
        <v>7</v>
      </c>
      <c r="B48" s="17" t="s">
        <v>8</v>
      </c>
      <c r="C48" s="43">
        <f t="shared" si="17"/>
        <v>0.025186939811776575</v>
      </c>
      <c r="D48" s="564">
        <f t="shared" si="18"/>
        <v>845878.1178375941</v>
      </c>
      <c r="E48" s="565"/>
      <c r="F48" s="566"/>
      <c r="G48" s="43">
        <f t="shared" si="19"/>
        <v>0.013606248019326878</v>
      </c>
      <c r="H48" s="564">
        <f t="shared" si="20"/>
        <v>456952.1963139953</v>
      </c>
      <c r="I48" s="565"/>
      <c r="J48" s="566"/>
      <c r="K48" s="43">
        <f t="shared" si="21"/>
        <v>0.03879318783110346</v>
      </c>
      <c r="L48" s="564">
        <f t="shared" si="21"/>
        <v>1302830.3141515893</v>
      </c>
      <c r="M48" s="565"/>
      <c r="N48" s="566"/>
      <c r="P48" s="45"/>
    </row>
    <row r="49" spans="1:16" ht="15" customHeight="1">
      <c r="A49" s="16">
        <v>8</v>
      </c>
      <c r="B49" s="17" t="s">
        <v>9</v>
      </c>
      <c r="C49" s="43">
        <f t="shared" si="17"/>
        <v>0.026491759277629996</v>
      </c>
      <c r="D49" s="564">
        <f t="shared" si="18"/>
        <v>889699.1712145464</v>
      </c>
      <c r="E49" s="565"/>
      <c r="F49" s="566"/>
      <c r="G49" s="43">
        <f t="shared" si="19"/>
        <v>0.007827142067117997</v>
      </c>
      <c r="H49" s="564">
        <f t="shared" si="20"/>
        <v>262866.71780132485</v>
      </c>
      <c r="I49" s="565"/>
      <c r="J49" s="566"/>
      <c r="K49" s="43">
        <f t="shared" si="21"/>
        <v>0.03431890134474799</v>
      </c>
      <c r="L49" s="564">
        <f t="shared" si="21"/>
        <v>1152565.8890158713</v>
      </c>
      <c r="M49" s="565"/>
      <c r="N49" s="566"/>
      <c r="P49" s="45"/>
    </row>
    <row r="50" spans="1:16" ht="15" customHeight="1">
      <c r="A50" s="16">
        <v>9</v>
      </c>
      <c r="B50" s="17" t="s">
        <v>10</v>
      </c>
      <c r="C50" s="43">
        <f t="shared" si="17"/>
        <v>0.029694354554179094</v>
      </c>
      <c r="D50" s="564">
        <f t="shared" si="18"/>
        <v>997255.1222339029</v>
      </c>
      <c r="E50" s="565"/>
      <c r="F50" s="566"/>
      <c r="G50" s="43">
        <f t="shared" si="19"/>
        <v>0.04010826128097144</v>
      </c>
      <c r="H50" s="564">
        <f t="shared" si="20"/>
        <v>1346995.737299677</v>
      </c>
      <c r="I50" s="565"/>
      <c r="J50" s="566"/>
      <c r="K50" s="43">
        <f t="shared" si="21"/>
        <v>0.06980261583515053</v>
      </c>
      <c r="L50" s="564">
        <f t="shared" si="21"/>
        <v>2344250.85953358</v>
      </c>
      <c r="M50" s="565"/>
      <c r="N50" s="566"/>
      <c r="P50" s="45"/>
    </row>
    <row r="51" spans="1:16" ht="15" customHeight="1">
      <c r="A51" s="16">
        <v>10</v>
      </c>
      <c r="B51" s="17" t="s">
        <v>12</v>
      </c>
      <c r="C51" s="43">
        <f t="shared" si="17"/>
        <v>0.01341221109105126</v>
      </c>
      <c r="D51" s="564">
        <f t="shared" si="18"/>
        <v>450435.6606448218</v>
      </c>
      <c r="E51" s="565"/>
      <c r="F51" s="566"/>
      <c r="G51" s="43">
        <f t="shared" si="19"/>
        <v>0.0008364884651881829</v>
      </c>
      <c r="H51" s="564">
        <f t="shared" si="20"/>
        <v>28092.626329912582</v>
      </c>
      <c r="I51" s="565"/>
      <c r="J51" s="566"/>
      <c r="K51" s="43">
        <f t="shared" si="21"/>
        <v>0.014248699556239443</v>
      </c>
      <c r="L51" s="564">
        <f t="shared" si="21"/>
        <v>478528.2869747344</v>
      </c>
      <c r="M51" s="565"/>
      <c r="N51" s="566"/>
      <c r="P51" s="45"/>
    </row>
    <row r="52" spans="1:16" ht="15" customHeight="1">
      <c r="A52" s="16">
        <v>11</v>
      </c>
      <c r="B52" s="17" t="s">
        <v>13</v>
      </c>
      <c r="C52" s="43">
        <f t="shared" si="17"/>
        <v>0.0298359384103802</v>
      </c>
      <c r="D52" s="564">
        <f t="shared" si="18"/>
        <v>1002010.0740738079</v>
      </c>
      <c r="E52" s="565"/>
      <c r="F52" s="566"/>
      <c r="G52" s="43">
        <f t="shared" si="19"/>
        <v>0.010157359934427936</v>
      </c>
      <c r="H52" s="564">
        <f t="shared" si="20"/>
        <v>341124.7482917956</v>
      </c>
      <c r="I52" s="565"/>
      <c r="J52" s="566"/>
      <c r="K52" s="43">
        <f t="shared" si="21"/>
        <v>0.03999329834480814</v>
      </c>
      <c r="L52" s="564">
        <f t="shared" si="21"/>
        <v>1343134.8223656034</v>
      </c>
      <c r="M52" s="565"/>
      <c r="N52" s="566"/>
      <c r="P52" s="45"/>
    </row>
    <row r="53" spans="1:16" ht="15" customHeight="1">
      <c r="A53" s="16">
        <v>12</v>
      </c>
      <c r="B53" s="17" t="s">
        <v>26</v>
      </c>
      <c r="C53" s="43">
        <f t="shared" si="17"/>
        <v>0.036340119347619014</v>
      </c>
      <c r="D53" s="564">
        <f t="shared" si="18"/>
        <v>1220446.4689030952</v>
      </c>
      <c r="E53" s="565"/>
      <c r="F53" s="566"/>
      <c r="G53" s="43">
        <f t="shared" si="19"/>
        <v>0.048206936732475135</v>
      </c>
      <c r="H53" s="564">
        <f t="shared" si="20"/>
        <v>1618981.6315404857</v>
      </c>
      <c r="I53" s="565"/>
      <c r="J53" s="566"/>
      <c r="K53" s="43">
        <f t="shared" si="21"/>
        <v>0.08454705608009415</v>
      </c>
      <c r="L53" s="564">
        <f t="shared" si="21"/>
        <v>2839428.100443581</v>
      </c>
      <c r="M53" s="565"/>
      <c r="N53" s="566"/>
      <c r="P53" s="45"/>
    </row>
    <row r="54" spans="1:16" ht="15" customHeight="1">
      <c r="A54" s="16">
        <v>13</v>
      </c>
      <c r="B54" s="17" t="s">
        <v>14</v>
      </c>
      <c r="C54" s="43">
        <f t="shared" si="17"/>
        <v>0.01710837794430145</v>
      </c>
      <c r="D54" s="564">
        <f t="shared" si="18"/>
        <v>574567.7181478585</v>
      </c>
      <c r="E54" s="565"/>
      <c r="F54" s="566"/>
      <c r="G54" s="43">
        <f t="shared" si="19"/>
        <v>0.007862045051167575</v>
      </c>
      <c r="H54" s="564">
        <f t="shared" si="20"/>
        <v>264038.8995223043</v>
      </c>
      <c r="I54" s="565"/>
      <c r="J54" s="566"/>
      <c r="K54" s="43">
        <f t="shared" si="21"/>
        <v>0.024970422995469026</v>
      </c>
      <c r="L54" s="564">
        <f t="shared" si="21"/>
        <v>838606.6176701628</v>
      </c>
      <c r="M54" s="565"/>
      <c r="N54" s="566"/>
      <c r="P54" s="45"/>
    </row>
    <row r="55" spans="1:16" ht="15" customHeight="1">
      <c r="A55" s="16">
        <v>14</v>
      </c>
      <c r="B55" s="17" t="s">
        <v>15</v>
      </c>
      <c r="C55" s="43">
        <f t="shared" si="17"/>
        <v>0.028428973488381692</v>
      </c>
      <c r="D55" s="564">
        <f t="shared" si="18"/>
        <v>954758.5679767012</v>
      </c>
      <c r="E55" s="565"/>
      <c r="F55" s="566"/>
      <c r="G55" s="43">
        <f t="shared" si="19"/>
        <v>0.036810816652287616</v>
      </c>
      <c r="H55" s="564">
        <f t="shared" si="20"/>
        <v>1236254.3658973202</v>
      </c>
      <c r="I55" s="565"/>
      <c r="J55" s="566"/>
      <c r="K55" s="43">
        <f t="shared" si="21"/>
        <v>0.0652397901406693</v>
      </c>
      <c r="L55" s="564">
        <f t="shared" si="21"/>
        <v>2191012.9338740213</v>
      </c>
      <c r="M55" s="565"/>
      <c r="N55" s="566"/>
      <c r="P55" s="45"/>
    </row>
    <row r="56" spans="1:16" ht="15" customHeight="1">
      <c r="A56" s="16">
        <v>15</v>
      </c>
      <c r="B56" s="17" t="s">
        <v>16</v>
      </c>
      <c r="C56" s="43">
        <f t="shared" si="17"/>
        <v>0.016857549719945165</v>
      </c>
      <c r="D56" s="564">
        <f t="shared" si="18"/>
        <v>566143.9037462439</v>
      </c>
      <c r="E56" s="565"/>
      <c r="F56" s="566"/>
      <c r="G56" s="43">
        <f t="shared" si="19"/>
        <v>0.0014937294021217552</v>
      </c>
      <c r="H56" s="564">
        <f t="shared" si="20"/>
        <v>50165.40416055818</v>
      </c>
      <c r="I56" s="565"/>
      <c r="J56" s="566"/>
      <c r="K56" s="43">
        <f t="shared" si="21"/>
        <v>0.01835127912206692</v>
      </c>
      <c r="L56" s="564">
        <f t="shared" si="21"/>
        <v>616309.307906802</v>
      </c>
      <c r="M56" s="565"/>
      <c r="N56" s="566"/>
      <c r="P56" s="45"/>
    </row>
    <row r="57" spans="1:16" ht="15" customHeight="1">
      <c r="A57" s="16">
        <v>16</v>
      </c>
      <c r="B57" s="17" t="s">
        <v>17</v>
      </c>
      <c r="C57" s="43">
        <f t="shared" si="17"/>
        <v>0.07485191419432276</v>
      </c>
      <c r="D57" s="564">
        <f t="shared" si="18"/>
        <v>2513826.4818352633</v>
      </c>
      <c r="E57" s="565"/>
      <c r="F57" s="566"/>
      <c r="G57" s="43">
        <f t="shared" si="19"/>
        <v>0.016206224543019992</v>
      </c>
      <c r="H57" s="564">
        <f>G38/$K$39*$B$59</f>
        <v>544269.800783561</v>
      </c>
      <c r="I57" s="565"/>
      <c r="J57" s="566"/>
      <c r="K57" s="43">
        <f t="shared" si="21"/>
        <v>0.09105813873734275</v>
      </c>
      <c r="L57" s="564">
        <f t="shared" si="21"/>
        <v>3058096.2826188244</v>
      </c>
      <c r="M57" s="565"/>
      <c r="N57" s="566"/>
      <c r="P57" s="45"/>
    </row>
    <row r="58" spans="1:14" ht="15" customHeight="1">
      <c r="A58" s="30"/>
      <c r="B58" s="30" t="s">
        <v>27</v>
      </c>
      <c r="C58" s="73">
        <f>SUM(C42:C57)</f>
        <v>0.5890840855327595</v>
      </c>
      <c r="D58" s="557">
        <f>SUM(D42:F57)</f>
        <v>19783798.31937922</v>
      </c>
      <c r="E58" s="558"/>
      <c r="F58" s="559"/>
      <c r="G58" s="73">
        <f>SUM(G42:G57)</f>
        <v>0.2895159144672405</v>
      </c>
      <c r="H58" s="557">
        <f>SUM(H42:J57)</f>
        <v>9723101.680620778</v>
      </c>
      <c r="I58" s="558"/>
      <c r="J58" s="559"/>
      <c r="K58" s="46">
        <f>SUM(K42:K57)</f>
        <v>0.8785999999999998</v>
      </c>
      <c r="L58" s="560">
        <f>SUM(L42:N57)</f>
        <v>29506900.000000004</v>
      </c>
      <c r="M58" s="561"/>
      <c r="N58" s="562"/>
    </row>
    <row r="59" ht="15" customHeight="1" thickBot="1">
      <c r="B59" s="47">
        <v>29506900</v>
      </c>
    </row>
    <row r="60" spans="1:14" ht="15" customHeight="1">
      <c r="A60" s="553" t="s">
        <v>36</v>
      </c>
      <c r="B60" s="554"/>
      <c r="C60" s="539" t="s">
        <v>33</v>
      </c>
      <c r="D60" s="539"/>
      <c r="E60" s="539"/>
      <c r="F60" s="539"/>
      <c r="G60" s="539"/>
      <c r="H60" s="539"/>
      <c r="I60" s="539"/>
      <c r="J60" s="539"/>
      <c r="K60" s="539" t="s">
        <v>32</v>
      </c>
      <c r="L60" s="539"/>
      <c r="M60" s="539" t="s">
        <v>34</v>
      </c>
      <c r="N60" s="563"/>
    </row>
    <row r="61" spans="1:14" ht="15" customHeight="1">
      <c r="A61" s="555"/>
      <c r="B61" s="556"/>
      <c r="C61" s="520" t="s">
        <v>28</v>
      </c>
      <c r="D61" s="520"/>
      <c r="E61" s="520" t="s">
        <v>29</v>
      </c>
      <c r="F61" s="520"/>
      <c r="G61" s="520" t="s">
        <v>30</v>
      </c>
      <c r="H61" s="520"/>
      <c r="I61" s="520"/>
      <c r="J61" s="520"/>
      <c r="K61" s="520"/>
      <c r="L61" s="520"/>
      <c r="M61" s="520"/>
      <c r="N61" s="519"/>
    </row>
    <row r="62" spans="1:14" ht="15" customHeight="1">
      <c r="A62" s="48">
        <v>1</v>
      </c>
      <c r="B62" s="37" t="s">
        <v>11</v>
      </c>
      <c r="C62" s="525">
        <v>3673388</v>
      </c>
      <c r="D62" s="526"/>
      <c r="E62" s="525">
        <v>4789580</v>
      </c>
      <c r="F62" s="526"/>
      <c r="G62" s="525">
        <f>'[1]СОДЕРЖАНИЕ  дорог  Суб №3  (2)'!AC7</f>
        <v>1050032.12</v>
      </c>
      <c r="H62" s="526"/>
      <c r="I62" s="552">
        <f>C62+E62+G62</f>
        <v>9513000.120000001</v>
      </c>
      <c r="J62" s="520"/>
      <c r="K62" s="518">
        <f>D42</f>
        <v>4189688.7280734438</v>
      </c>
      <c r="L62" s="520"/>
      <c r="M62" s="540">
        <f aca="true" t="shared" si="22" ref="M62:M78">D42-I62</f>
        <v>-5323311.391926557</v>
      </c>
      <c r="N62" s="541"/>
    </row>
    <row r="63" spans="1:14" ht="15" customHeight="1">
      <c r="A63" s="49">
        <v>2</v>
      </c>
      <c r="B63" s="17" t="s">
        <v>3</v>
      </c>
      <c r="C63" s="525">
        <v>22244</v>
      </c>
      <c r="D63" s="526"/>
      <c r="E63" s="525">
        <v>1477517</v>
      </c>
      <c r="F63" s="526"/>
      <c r="G63" s="525">
        <f>'[1]СОДЕРЖАНИЕ  дорог  Суб №3  (2)'!AC8</f>
        <v>314247.76</v>
      </c>
      <c r="H63" s="526"/>
      <c r="I63" s="552">
        <f aca="true" t="shared" si="23" ref="I63:I78">C63+E63+G63</f>
        <v>1814008.76</v>
      </c>
      <c r="J63" s="520"/>
      <c r="K63" s="518">
        <f aca="true" t="shared" si="24" ref="K63:K78">D43</f>
        <v>1350015.5952927086</v>
      </c>
      <c r="L63" s="520"/>
      <c r="M63" s="546">
        <f t="shared" si="22"/>
        <v>-463993.1647072914</v>
      </c>
      <c r="N63" s="547"/>
    </row>
    <row r="64" spans="1:14" ht="15" customHeight="1">
      <c r="A64" s="49">
        <v>3</v>
      </c>
      <c r="B64" s="17" t="s">
        <v>4</v>
      </c>
      <c r="C64" s="525">
        <v>47578</v>
      </c>
      <c r="D64" s="526"/>
      <c r="E64" s="525">
        <v>1362945</v>
      </c>
      <c r="F64" s="526"/>
      <c r="G64" s="525">
        <f>'[1]СОДЕРЖАНИЕ  дорог  Суб №3  (2)'!AC9</f>
        <v>288283.6</v>
      </c>
      <c r="H64" s="526"/>
      <c r="I64" s="552">
        <f t="shared" si="23"/>
        <v>1698806.6</v>
      </c>
      <c r="J64" s="520"/>
      <c r="K64" s="518">
        <f t="shared" si="24"/>
        <v>1243909.9708094792</v>
      </c>
      <c r="L64" s="520"/>
      <c r="M64" s="546">
        <f t="shared" si="22"/>
        <v>-454896.62919052085</v>
      </c>
      <c r="N64" s="547"/>
    </row>
    <row r="65" spans="1:14" ht="15" customHeight="1">
      <c r="A65" s="49">
        <v>4</v>
      </c>
      <c r="B65" s="50" t="s">
        <v>5</v>
      </c>
      <c r="C65" s="525">
        <v>21282</v>
      </c>
      <c r="D65" s="526"/>
      <c r="E65" s="525">
        <v>363624</v>
      </c>
      <c r="F65" s="526"/>
      <c r="G65" s="525">
        <f>'[1]СОДЕРЖАНИЕ  дорог  Суб №3  (2)'!AC10</f>
        <v>162408.32</v>
      </c>
      <c r="H65" s="526"/>
      <c r="I65" s="552">
        <f t="shared" si="23"/>
        <v>547314.3200000001</v>
      </c>
      <c r="J65" s="520"/>
      <c r="K65" s="518">
        <f t="shared" si="24"/>
        <v>673037.6052057251</v>
      </c>
      <c r="L65" s="520"/>
      <c r="M65" s="540">
        <f t="shared" si="22"/>
        <v>125723.285205725</v>
      </c>
      <c r="N65" s="541"/>
    </row>
    <row r="66" spans="1:14" ht="15" customHeight="1">
      <c r="A66" s="49">
        <v>5</v>
      </c>
      <c r="B66" s="25" t="s">
        <v>6</v>
      </c>
      <c r="C66" s="525">
        <v>23659</v>
      </c>
      <c r="D66" s="526"/>
      <c r="E66" s="525">
        <v>1016040</v>
      </c>
      <c r="F66" s="526"/>
      <c r="G66" s="525">
        <f>'[1]СОДЕРЖАНИЕ  дорог  Суб №3  (2)'!AC11</f>
        <v>279532.04000000004</v>
      </c>
      <c r="H66" s="526"/>
      <c r="I66" s="552">
        <f t="shared" si="23"/>
        <v>1319231.04</v>
      </c>
      <c r="J66" s="520"/>
      <c r="K66" s="518">
        <f t="shared" si="24"/>
        <v>1170022.7874141857</v>
      </c>
      <c r="L66" s="520"/>
      <c r="M66" s="546">
        <f t="shared" si="22"/>
        <v>-149208.25258581433</v>
      </c>
      <c r="N66" s="547"/>
    </row>
    <row r="67" spans="1:14" ht="15" customHeight="1">
      <c r="A67" s="49">
        <v>6</v>
      </c>
      <c r="B67" s="25" t="s">
        <v>7</v>
      </c>
      <c r="C67" s="525">
        <v>772222</v>
      </c>
      <c r="D67" s="526"/>
      <c r="E67" s="525">
        <v>638693</v>
      </c>
      <c r="F67" s="526"/>
      <c r="G67" s="525">
        <f>'[1]СОДЕРЖАНИЕ  дорог  Суб №3  (2)'!AC12</f>
        <v>276448.36</v>
      </c>
      <c r="H67" s="526"/>
      <c r="I67" s="552">
        <f t="shared" si="23"/>
        <v>1687363.3599999999</v>
      </c>
      <c r="J67" s="520"/>
      <c r="K67" s="518">
        <f t="shared" si="24"/>
        <v>1142102.345969841</v>
      </c>
      <c r="L67" s="520"/>
      <c r="M67" s="546">
        <f t="shared" si="22"/>
        <v>-545261.014030159</v>
      </c>
      <c r="N67" s="547"/>
    </row>
    <row r="68" spans="1:14" ht="15" customHeight="1">
      <c r="A68" s="49">
        <v>7</v>
      </c>
      <c r="B68" s="50" t="s">
        <v>8</v>
      </c>
      <c r="C68" s="525">
        <v>20178</v>
      </c>
      <c r="D68" s="526"/>
      <c r="E68" s="525">
        <v>564814</v>
      </c>
      <c r="F68" s="526"/>
      <c r="G68" s="525">
        <f>'[1]СОДЕРЖАНИЕ  дорог  Суб №3  (2)'!AC13</f>
        <v>199032</v>
      </c>
      <c r="H68" s="526"/>
      <c r="I68" s="552">
        <f t="shared" si="23"/>
        <v>784024</v>
      </c>
      <c r="J68" s="520"/>
      <c r="K68" s="518">
        <f t="shared" si="24"/>
        <v>845878.1178375941</v>
      </c>
      <c r="L68" s="520"/>
      <c r="M68" s="540">
        <f t="shared" si="22"/>
        <v>61854.11783759412</v>
      </c>
      <c r="N68" s="541"/>
    </row>
    <row r="69" spans="1:14" ht="15" customHeight="1">
      <c r="A69" s="49">
        <v>8</v>
      </c>
      <c r="B69" s="25" t="s">
        <v>9</v>
      </c>
      <c r="C69" s="51"/>
      <c r="D69" s="52"/>
      <c r="E69" s="525">
        <v>892245</v>
      </c>
      <c r="F69" s="526"/>
      <c r="G69" s="525">
        <f>'[1]СОДЕРЖАНИЕ  дорог  Суб №3  (2)'!AC14</f>
        <v>215285.2</v>
      </c>
      <c r="H69" s="526"/>
      <c r="I69" s="552">
        <f t="shared" si="23"/>
        <v>1107530.2</v>
      </c>
      <c r="J69" s="520"/>
      <c r="K69" s="518">
        <f t="shared" si="24"/>
        <v>889699.1712145464</v>
      </c>
      <c r="L69" s="520"/>
      <c r="M69" s="546">
        <f t="shared" si="22"/>
        <v>-217831.02878545353</v>
      </c>
      <c r="N69" s="547"/>
    </row>
    <row r="70" spans="1:14" ht="15" customHeight="1">
      <c r="A70" s="49">
        <v>9</v>
      </c>
      <c r="B70" s="25" t="s">
        <v>10</v>
      </c>
      <c r="C70" s="525">
        <v>101008</v>
      </c>
      <c r="D70" s="526"/>
      <c r="E70" s="525">
        <v>1124577</v>
      </c>
      <c r="F70" s="526"/>
      <c r="G70" s="525">
        <f>'[1]СОДЕРЖАНИЕ  дорог  Суб №3  (2)'!AC15</f>
        <v>230280.60000000003</v>
      </c>
      <c r="H70" s="526"/>
      <c r="I70" s="552">
        <f t="shared" si="23"/>
        <v>1455865.6</v>
      </c>
      <c r="J70" s="520"/>
      <c r="K70" s="518">
        <f t="shared" si="24"/>
        <v>997255.1222339029</v>
      </c>
      <c r="L70" s="520"/>
      <c r="M70" s="546">
        <f t="shared" si="22"/>
        <v>-458610.4777660972</v>
      </c>
      <c r="N70" s="547"/>
    </row>
    <row r="71" spans="1:14" ht="15" customHeight="1">
      <c r="A71" s="49">
        <v>10</v>
      </c>
      <c r="B71" s="25" t="s">
        <v>12</v>
      </c>
      <c r="C71" s="51"/>
      <c r="D71" s="52"/>
      <c r="E71" s="525">
        <v>422869</v>
      </c>
      <c r="F71" s="526"/>
      <c r="G71" s="525">
        <f>'[1]СОДЕРЖАНИЕ  дорог  Суб №3  (2)'!AC16</f>
        <v>105109.56</v>
      </c>
      <c r="H71" s="526"/>
      <c r="I71" s="552">
        <f t="shared" si="23"/>
        <v>527978.56</v>
      </c>
      <c r="J71" s="520"/>
      <c r="K71" s="518">
        <f t="shared" si="24"/>
        <v>450435.6606448218</v>
      </c>
      <c r="L71" s="520"/>
      <c r="M71" s="546">
        <f t="shared" si="22"/>
        <v>-77542.89935517823</v>
      </c>
      <c r="N71" s="547"/>
    </row>
    <row r="72" spans="1:14" ht="15" customHeight="1">
      <c r="A72" s="49">
        <v>11</v>
      </c>
      <c r="B72" s="25" t="s">
        <v>13</v>
      </c>
      <c r="C72" s="51"/>
      <c r="D72" s="52"/>
      <c r="E72" s="525">
        <v>1080739</v>
      </c>
      <c r="F72" s="526"/>
      <c r="G72" s="525">
        <f>'[1]СОДЕРЖАНИЕ  дорог  Суб №3  (2)'!AC17</f>
        <v>232982.52</v>
      </c>
      <c r="H72" s="526"/>
      <c r="I72" s="552">
        <f t="shared" si="23"/>
        <v>1313721.52</v>
      </c>
      <c r="J72" s="520"/>
      <c r="K72" s="518">
        <f t="shared" si="24"/>
        <v>1002010.0740738079</v>
      </c>
      <c r="L72" s="520"/>
      <c r="M72" s="546">
        <f t="shared" si="22"/>
        <v>-311711.4459261921</v>
      </c>
      <c r="N72" s="547"/>
    </row>
    <row r="73" spans="1:14" ht="15" customHeight="1">
      <c r="A73" s="49">
        <v>12</v>
      </c>
      <c r="B73" s="25" t="s">
        <v>26</v>
      </c>
      <c r="C73" s="525">
        <v>117864</v>
      </c>
      <c r="D73" s="526"/>
      <c r="E73" s="525">
        <v>870548</v>
      </c>
      <c r="F73" s="526"/>
      <c r="G73" s="525">
        <f>'[1]СОДЕРЖАНИЕ  дорог  Суб №3  (2)'!AC18</f>
        <v>277789.48</v>
      </c>
      <c r="H73" s="526"/>
      <c r="I73" s="552">
        <f t="shared" si="23"/>
        <v>1266201.48</v>
      </c>
      <c r="J73" s="520"/>
      <c r="K73" s="518">
        <f t="shared" si="24"/>
        <v>1220446.4689030952</v>
      </c>
      <c r="L73" s="520"/>
      <c r="M73" s="546">
        <f t="shared" si="22"/>
        <v>-45755.01109690475</v>
      </c>
      <c r="N73" s="547"/>
    </row>
    <row r="74" spans="1:14" ht="15" customHeight="1">
      <c r="A74" s="49">
        <v>13</v>
      </c>
      <c r="B74" s="25" t="s">
        <v>14</v>
      </c>
      <c r="C74" s="51"/>
      <c r="D74" s="52"/>
      <c r="E74" s="525">
        <v>645502</v>
      </c>
      <c r="F74" s="526"/>
      <c r="G74" s="525">
        <f>'[1]СОДЕРЖАНИЕ  дорог  Суб №3  (2)'!AC19</f>
        <v>132096</v>
      </c>
      <c r="H74" s="526"/>
      <c r="I74" s="552">
        <f t="shared" si="23"/>
        <v>777598</v>
      </c>
      <c r="J74" s="520"/>
      <c r="K74" s="518">
        <f t="shared" si="24"/>
        <v>574567.7181478585</v>
      </c>
      <c r="L74" s="520"/>
      <c r="M74" s="546">
        <f t="shared" si="22"/>
        <v>-203030.2818521415</v>
      </c>
      <c r="N74" s="547"/>
    </row>
    <row r="75" spans="1:14" ht="15" customHeight="1">
      <c r="A75" s="49">
        <v>14</v>
      </c>
      <c r="B75" s="25" t="s">
        <v>15</v>
      </c>
      <c r="C75" s="51"/>
      <c r="D75" s="52"/>
      <c r="E75" s="525">
        <v>976523</v>
      </c>
      <c r="F75" s="526"/>
      <c r="G75" s="525">
        <f>'[1]СОДЕРЖАНИЕ  дорог  Суб №3  (2)'!AC20</f>
        <v>220830.12</v>
      </c>
      <c r="H75" s="526"/>
      <c r="I75" s="552">
        <f t="shared" si="23"/>
        <v>1197353.12</v>
      </c>
      <c r="J75" s="520"/>
      <c r="K75" s="518">
        <f t="shared" si="24"/>
        <v>954758.5679767012</v>
      </c>
      <c r="L75" s="520"/>
      <c r="M75" s="546">
        <f t="shared" si="22"/>
        <v>-242594.55202329892</v>
      </c>
      <c r="N75" s="547"/>
    </row>
    <row r="76" spans="1:14" ht="15" customHeight="1">
      <c r="A76" s="49">
        <v>15</v>
      </c>
      <c r="B76" s="25" t="s">
        <v>16</v>
      </c>
      <c r="C76" s="51"/>
      <c r="D76" s="52"/>
      <c r="E76" s="525">
        <v>489505</v>
      </c>
      <c r="F76" s="526"/>
      <c r="G76" s="525">
        <f>'[1]СОДЕРЖАНИЕ  дорог  Суб №3  (2)'!AC21</f>
        <v>119692.8</v>
      </c>
      <c r="H76" s="526"/>
      <c r="I76" s="552">
        <f t="shared" si="23"/>
        <v>609197.8</v>
      </c>
      <c r="J76" s="520"/>
      <c r="K76" s="518">
        <f t="shared" si="24"/>
        <v>566143.9037462439</v>
      </c>
      <c r="L76" s="520"/>
      <c r="M76" s="546">
        <f t="shared" si="22"/>
        <v>-43053.89625375613</v>
      </c>
      <c r="N76" s="547"/>
    </row>
    <row r="77" spans="1:14" ht="15" customHeight="1">
      <c r="A77" s="49">
        <v>16</v>
      </c>
      <c r="B77" s="25" t="s">
        <v>17</v>
      </c>
      <c r="C77" s="525">
        <v>1080577</v>
      </c>
      <c r="D77" s="526"/>
      <c r="E77" s="525">
        <v>2652879</v>
      </c>
      <c r="F77" s="526"/>
      <c r="G77" s="525">
        <f>'[1]СОДЕРЖАНИЕ  дорог  Суб №3  (2)'!AC22</f>
        <v>603641.8</v>
      </c>
      <c r="H77" s="526"/>
      <c r="I77" s="552">
        <f t="shared" si="23"/>
        <v>4337097.8</v>
      </c>
      <c r="J77" s="520"/>
      <c r="K77" s="518">
        <f t="shared" si="24"/>
        <v>2513826.4818352633</v>
      </c>
      <c r="L77" s="520"/>
      <c r="M77" s="540">
        <f t="shared" si="22"/>
        <v>-1823271.3181647365</v>
      </c>
      <c r="N77" s="541"/>
    </row>
    <row r="78" spans="1:14" ht="15" customHeight="1" thickBot="1">
      <c r="A78" s="53"/>
      <c r="B78" s="54" t="s">
        <v>27</v>
      </c>
      <c r="C78" s="542">
        <f>SUM(C62:C77)</f>
        <v>5880000</v>
      </c>
      <c r="D78" s="543"/>
      <c r="E78" s="542">
        <f>SUM(E62:E77)</f>
        <v>19368600</v>
      </c>
      <c r="F78" s="543"/>
      <c r="G78" s="544">
        <f>SUM(G62:H77)</f>
        <v>4707692.28</v>
      </c>
      <c r="H78" s="545"/>
      <c r="I78" s="542">
        <f t="shared" si="23"/>
        <v>29956292.28</v>
      </c>
      <c r="J78" s="543"/>
      <c r="K78" s="548">
        <f t="shared" si="24"/>
        <v>19783798.31937922</v>
      </c>
      <c r="L78" s="549"/>
      <c r="M78" s="550">
        <f t="shared" si="22"/>
        <v>-10172493.96062078</v>
      </c>
      <c r="N78" s="551"/>
    </row>
    <row r="79" spans="1:14" ht="15" customHeight="1">
      <c r="A79" s="532" t="s">
        <v>35</v>
      </c>
      <c r="B79" s="533"/>
      <c r="C79" s="536" t="s">
        <v>33</v>
      </c>
      <c r="D79" s="537"/>
      <c r="E79" s="537"/>
      <c r="F79" s="538"/>
      <c r="G79" s="539" t="s">
        <v>32</v>
      </c>
      <c r="H79" s="539"/>
      <c r="I79" s="536" t="s">
        <v>37</v>
      </c>
      <c r="J79" s="538"/>
      <c r="K79" s="527" t="s">
        <v>38</v>
      </c>
      <c r="L79" s="528"/>
      <c r="M79" s="529" t="s">
        <v>39</v>
      </c>
      <c r="N79" s="530"/>
    </row>
    <row r="80" spans="1:18" ht="15" customHeight="1">
      <c r="A80" s="534"/>
      <c r="B80" s="535"/>
      <c r="C80" s="520" t="s">
        <v>30</v>
      </c>
      <c r="D80" s="520"/>
      <c r="E80" s="520" t="s">
        <v>31</v>
      </c>
      <c r="F80" s="520"/>
      <c r="G80" s="520"/>
      <c r="H80" s="520"/>
      <c r="I80" s="520">
        <v>1.5</v>
      </c>
      <c r="J80" s="520"/>
      <c r="K80" s="520" t="s">
        <v>0</v>
      </c>
      <c r="L80" s="520"/>
      <c r="M80" s="518"/>
      <c r="N80" s="531"/>
      <c r="Q80" s="507"/>
      <c r="R80" s="507"/>
    </row>
    <row r="81" spans="1:22" ht="15" customHeight="1">
      <c r="A81" s="48">
        <v>1</v>
      </c>
      <c r="B81" s="55" t="s">
        <v>11</v>
      </c>
      <c r="C81" s="521">
        <f>'[1]СОДЕРЖАНИЕ  дорог  Суб №3  (2)'!AH7</f>
        <v>142008</v>
      </c>
      <c r="D81" s="522"/>
      <c r="E81" s="521">
        <v>1024597</v>
      </c>
      <c r="F81" s="522"/>
      <c r="G81" s="518">
        <f>H42</f>
        <v>660189.9637441433</v>
      </c>
      <c r="H81" s="520"/>
      <c r="I81" s="521">
        <f>C81*I80</f>
        <v>213012</v>
      </c>
      <c r="J81" s="522"/>
      <c r="K81" s="513"/>
      <c r="L81" s="514"/>
      <c r="M81" s="518"/>
      <c r="N81" s="519"/>
      <c r="Q81" s="506"/>
      <c r="R81" s="507"/>
      <c r="U81" s="56"/>
      <c r="V81" s="56"/>
    </row>
    <row r="82" spans="1:22" ht="15" customHeight="1">
      <c r="A82" s="49">
        <v>2</v>
      </c>
      <c r="B82" s="25" t="s">
        <v>3</v>
      </c>
      <c r="C82" s="521">
        <f>'[1]СОДЕРЖАНИЕ  дорог  Суб №3  (2)'!AH8</f>
        <v>18827.199999999997</v>
      </c>
      <c r="D82" s="522"/>
      <c r="E82" s="57"/>
      <c r="F82" s="57"/>
      <c r="G82" s="518">
        <f aca="true" t="shared" si="25" ref="G82:G97">H43</f>
        <v>81079.21361553977</v>
      </c>
      <c r="H82" s="520"/>
      <c r="I82" s="521">
        <f>C82*I80</f>
        <v>28240.799999999996</v>
      </c>
      <c r="J82" s="522"/>
      <c r="K82" s="58"/>
      <c r="L82" s="33"/>
      <c r="M82" s="518"/>
      <c r="N82" s="519"/>
      <c r="Q82" s="506"/>
      <c r="R82" s="507"/>
      <c r="U82" s="56"/>
      <c r="V82" s="56"/>
    </row>
    <row r="83" spans="1:22" ht="15" customHeight="1">
      <c r="A83" s="49">
        <v>3</v>
      </c>
      <c r="B83" s="25" t="s">
        <v>4</v>
      </c>
      <c r="C83" s="521">
        <f>'[1]СОДЕРЖАНИЕ  дорог  Суб №3  (2)'!AH9</f>
        <v>221352</v>
      </c>
      <c r="D83" s="522"/>
      <c r="E83" s="57"/>
      <c r="F83" s="57"/>
      <c r="G83" s="518">
        <f t="shared" si="25"/>
        <v>959897.6245613343</v>
      </c>
      <c r="H83" s="520"/>
      <c r="I83" s="521">
        <f>C83*I80</f>
        <v>332028</v>
      </c>
      <c r="J83" s="522"/>
      <c r="K83" s="58"/>
      <c r="L83" s="33"/>
      <c r="M83" s="518"/>
      <c r="N83" s="519"/>
      <c r="Q83" s="506"/>
      <c r="R83" s="507"/>
      <c r="U83" s="56"/>
      <c r="V83" s="56"/>
    </row>
    <row r="84" spans="1:22" ht="15" customHeight="1">
      <c r="A84" s="49">
        <v>4</v>
      </c>
      <c r="B84" s="25" t="s">
        <v>5</v>
      </c>
      <c r="C84" s="521">
        <f>'[1]СОДЕРЖАНИЕ  дорог  Суб №3  (2)'!AH10</f>
        <v>51376</v>
      </c>
      <c r="D84" s="522"/>
      <c r="E84" s="57"/>
      <c r="F84" s="57"/>
      <c r="G84" s="518">
        <f t="shared" si="25"/>
        <v>212562.24123319288</v>
      </c>
      <c r="H84" s="520"/>
      <c r="I84" s="521">
        <f>C84*I80</f>
        <v>77064</v>
      </c>
      <c r="J84" s="522"/>
      <c r="K84" s="58"/>
      <c r="L84" s="33"/>
      <c r="M84" s="518"/>
      <c r="N84" s="519"/>
      <c r="Q84" s="506"/>
      <c r="R84" s="507"/>
      <c r="U84" s="56"/>
      <c r="V84" s="56"/>
    </row>
    <row r="85" spans="1:22" ht="15" customHeight="1">
      <c r="A85" s="49">
        <v>5</v>
      </c>
      <c r="B85" s="25" t="s">
        <v>6</v>
      </c>
      <c r="C85" s="521">
        <f>'[1]СОДЕРЖАНИЕ  дорог  Суб №3  (2)'!AH11</f>
        <v>261080</v>
      </c>
      <c r="D85" s="522"/>
      <c r="E85" s="57"/>
      <c r="F85" s="57"/>
      <c r="G85" s="518">
        <f t="shared" si="25"/>
        <v>1659630.5095256348</v>
      </c>
      <c r="H85" s="520"/>
      <c r="I85" s="521">
        <f>C85*I80</f>
        <v>391620</v>
      </c>
      <c r="J85" s="522"/>
      <c r="K85" s="513">
        <v>2100000</v>
      </c>
      <c r="L85" s="514"/>
      <c r="M85" s="518"/>
      <c r="N85" s="519"/>
      <c r="Q85" s="506"/>
      <c r="R85" s="507"/>
      <c r="U85" s="56"/>
      <c r="V85" s="56"/>
    </row>
    <row r="86" spans="1:22" ht="15" customHeight="1">
      <c r="A86" s="49">
        <v>6</v>
      </c>
      <c r="B86" s="25" t="s">
        <v>7</v>
      </c>
      <c r="C86" s="521">
        <f>'[1]СОДЕРЖАНИЕ  дорог  Суб №3  (2)'!AH12</f>
        <v>0</v>
      </c>
      <c r="D86" s="522"/>
      <c r="E86" s="57"/>
      <c r="F86" s="57"/>
      <c r="G86" s="518">
        <f t="shared" si="25"/>
        <v>0</v>
      </c>
      <c r="H86" s="520"/>
      <c r="I86" s="521">
        <f>C86*I80</f>
        <v>0</v>
      </c>
      <c r="J86" s="522"/>
      <c r="K86" s="58"/>
      <c r="L86" s="33"/>
      <c r="M86" s="518"/>
      <c r="N86" s="519"/>
      <c r="Q86" s="506"/>
      <c r="R86" s="507"/>
      <c r="U86" s="56"/>
      <c r="V86" s="56"/>
    </row>
    <row r="87" spans="1:22" ht="15" customHeight="1">
      <c r="A87" s="49">
        <v>7</v>
      </c>
      <c r="B87" s="25" t="s">
        <v>8</v>
      </c>
      <c r="C87" s="521">
        <f>'[1]СОДЕРЖАНИЕ  дорог  Суб №3  (2)'!AH13</f>
        <v>109856</v>
      </c>
      <c r="D87" s="522"/>
      <c r="E87" s="57"/>
      <c r="F87" s="57"/>
      <c r="G87" s="518">
        <f t="shared" si="25"/>
        <v>456952.1963139953</v>
      </c>
      <c r="H87" s="520"/>
      <c r="I87" s="521">
        <f>C87*I80</f>
        <v>164784</v>
      </c>
      <c r="J87" s="522"/>
      <c r="K87" s="58"/>
      <c r="L87" s="33"/>
      <c r="M87" s="518"/>
      <c r="N87" s="519"/>
      <c r="Q87" s="506"/>
      <c r="R87" s="507"/>
      <c r="U87" s="56"/>
      <c r="V87" s="56"/>
    </row>
    <row r="88" spans="1:22" ht="15" customHeight="1">
      <c r="A88" s="49">
        <v>8</v>
      </c>
      <c r="B88" s="25" t="s">
        <v>9</v>
      </c>
      <c r="C88" s="521">
        <f>'[1]СОДЕРЖАНИЕ  дорог  Суб №3  (2)'!AH14</f>
        <v>63928</v>
      </c>
      <c r="D88" s="522"/>
      <c r="E88" s="525">
        <v>723405</v>
      </c>
      <c r="F88" s="526"/>
      <c r="G88" s="518">
        <f t="shared" si="25"/>
        <v>262866.71780132485</v>
      </c>
      <c r="H88" s="520"/>
      <c r="I88" s="521">
        <f>C88*I80</f>
        <v>95892</v>
      </c>
      <c r="J88" s="522"/>
      <c r="K88" s="513">
        <v>2800000</v>
      </c>
      <c r="L88" s="514"/>
      <c r="M88" s="518"/>
      <c r="N88" s="519"/>
      <c r="Q88" s="506"/>
      <c r="R88" s="507"/>
      <c r="U88" s="56"/>
      <c r="V88" s="56"/>
    </row>
    <row r="89" spans="1:22" ht="15" customHeight="1">
      <c r="A89" s="49">
        <v>9</v>
      </c>
      <c r="B89" s="25" t="s">
        <v>10</v>
      </c>
      <c r="C89" s="521">
        <f>'[1]СОДЕРЖАНИЕ  дорог  Суб №3  (2)'!AH15</f>
        <v>314705.52</v>
      </c>
      <c r="D89" s="522"/>
      <c r="E89" s="59"/>
      <c r="F89" s="57"/>
      <c r="G89" s="518">
        <f t="shared" si="25"/>
        <v>1346995.737299677</v>
      </c>
      <c r="H89" s="520"/>
      <c r="I89" s="521">
        <f>C89*I80</f>
        <v>472058.28</v>
      </c>
      <c r="J89" s="522"/>
      <c r="K89" s="516">
        <v>400000</v>
      </c>
      <c r="L89" s="517"/>
      <c r="M89" s="518"/>
      <c r="N89" s="519"/>
      <c r="Q89" s="506"/>
      <c r="R89" s="507"/>
      <c r="U89" s="56"/>
      <c r="V89" s="56"/>
    </row>
    <row r="90" spans="1:22" ht="15" customHeight="1">
      <c r="A90" s="49">
        <v>10</v>
      </c>
      <c r="B90" s="25" t="s">
        <v>12</v>
      </c>
      <c r="C90" s="521">
        <f>'[1]СОДЕРЖАНИЕ  дорог  Суб №3  (2)'!AH16</f>
        <v>6832</v>
      </c>
      <c r="D90" s="522"/>
      <c r="E90" s="59"/>
      <c r="F90" s="57"/>
      <c r="G90" s="518">
        <f t="shared" si="25"/>
        <v>28092.626329912582</v>
      </c>
      <c r="H90" s="520"/>
      <c r="I90" s="521">
        <f>C90*I80</f>
        <v>10248</v>
      </c>
      <c r="J90" s="522"/>
      <c r="K90" s="58"/>
      <c r="L90" s="33"/>
      <c r="M90" s="518"/>
      <c r="N90" s="519"/>
      <c r="Q90" s="506"/>
      <c r="R90" s="507"/>
      <c r="U90" s="56"/>
      <c r="V90" s="56"/>
    </row>
    <row r="91" spans="1:22" ht="15" customHeight="1">
      <c r="A91" s="49">
        <v>11</v>
      </c>
      <c r="B91" s="25" t="s">
        <v>13</v>
      </c>
      <c r="C91" s="521">
        <f>'[1]СОДЕРЖАНИЕ  дорог  Суб №3  (2)'!AH17</f>
        <v>104976</v>
      </c>
      <c r="D91" s="522"/>
      <c r="E91" s="59"/>
      <c r="F91" s="57"/>
      <c r="G91" s="518">
        <f t="shared" si="25"/>
        <v>341124.7482917956</v>
      </c>
      <c r="H91" s="520"/>
      <c r="I91" s="521">
        <f>C91*I80</f>
        <v>157464</v>
      </c>
      <c r="J91" s="522"/>
      <c r="K91" s="58"/>
      <c r="L91" s="33"/>
      <c r="M91" s="518"/>
      <c r="N91" s="519"/>
      <c r="Q91" s="506"/>
      <c r="R91" s="507"/>
      <c r="U91" s="56"/>
      <c r="V91" s="56"/>
    </row>
    <row r="92" spans="1:22" ht="15" customHeight="1">
      <c r="A92" s="49">
        <v>12</v>
      </c>
      <c r="B92" s="25" t="s">
        <v>26</v>
      </c>
      <c r="C92" s="521">
        <f>'[1]СОДЕРЖАНИЕ  дорог  Суб №3  (2)'!AH18</f>
        <v>437120</v>
      </c>
      <c r="D92" s="522"/>
      <c r="E92" s="59"/>
      <c r="F92" s="57"/>
      <c r="G92" s="518">
        <f t="shared" si="25"/>
        <v>1618981.6315404857</v>
      </c>
      <c r="H92" s="520"/>
      <c r="I92" s="521">
        <f>C92*I80</f>
        <v>655680</v>
      </c>
      <c r="J92" s="522"/>
      <c r="K92" s="516">
        <v>400000</v>
      </c>
      <c r="L92" s="517"/>
      <c r="M92" s="518"/>
      <c r="N92" s="519"/>
      <c r="Q92" s="506"/>
      <c r="R92" s="507"/>
      <c r="U92" s="56"/>
      <c r="V92" s="56"/>
    </row>
    <row r="93" spans="1:22" ht="15" customHeight="1">
      <c r="A93" s="49">
        <v>13</v>
      </c>
      <c r="B93" s="25" t="s">
        <v>14</v>
      </c>
      <c r="C93" s="521">
        <f>'[1]СОДЕРЖАНИЕ  дорог  Суб №3  (2)'!AH19</f>
        <v>62304</v>
      </c>
      <c r="D93" s="522"/>
      <c r="E93" s="59"/>
      <c r="F93" s="57"/>
      <c r="G93" s="518">
        <f t="shared" si="25"/>
        <v>264038.8995223043</v>
      </c>
      <c r="H93" s="520"/>
      <c r="I93" s="521">
        <f>C93*I80</f>
        <v>93456</v>
      </c>
      <c r="J93" s="522"/>
      <c r="K93" s="58"/>
      <c r="L93" s="33"/>
      <c r="M93" s="518"/>
      <c r="N93" s="519"/>
      <c r="Q93" s="506"/>
      <c r="R93" s="507"/>
      <c r="U93" s="56"/>
      <c r="V93" s="56"/>
    </row>
    <row r="94" spans="1:22" ht="15" customHeight="1">
      <c r="A94" s="49">
        <v>14</v>
      </c>
      <c r="B94" s="25" t="s">
        <v>15</v>
      </c>
      <c r="C94" s="521">
        <f>'[1]СОДЕРЖАНИЕ  дорог  Суб №3  (2)'!AH20</f>
        <v>306808</v>
      </c>
      <c r="D94" s="522"/>
      <c r="E94" s="523">
        <v>990443</v>
      </c>
      <c r="F94" s="524"/>
      <c r="G94" s="518">
        <f t="shared" si="25"/>
        <v>1236254.3658973202</v>
      </c>
      <c r="H94" s="520"/>
      <c r="I94" s="521">
        <f>C94*I80</f>
        <v>460212</v>
      </c>
      <c r="J94" s="522"/>
      <c r="K94" s="516">
        <v>1800000</v>
      </c>
      <c r="L94" s="517"/>
      <c r="M94" s="518"/>
      <c r="N94" s="519"/>
      <c r="Q94" s="506"/>
      <c r="R94" s="507"/>
      <c r="U94" s="56"/>
      <c r="V94" s="56"/>
    </row>
    <row r="95" spans="1:22" ht="15" customHeight="1">
      <c r="A95" s="49">
        <v>15</v>
      </c>
      <c r="B95" s="25" t="s">
        <v>16</v>
      </c>
      <c r="C95" s="521">
        <f>'[1]СОДЕРЖАНИЕ  дорог  Суб №3  (2)'!AH21</f>
        <v>12200</v>
      </c>
      <c r="D95" s="522"/>
      <c r="G95" s="518">
        <f t="shared" si="25"/>
        <v>50165.40416055818</v>
      </c>
      <c r="H95" s="520"/>
      <c r="I95" s="521">
        <f>C95*I80</f>
        <v>18300</v>
      </c>
      <c r="J95" s="522"/>
      <c r="K95" s="58"/>
      <c r="L95" s="33"/>
      <c r="M95" s="518"/>
      <c r="N95" s="519"/>
      <c r="Q95" s="506"/>
      <c r="R95" s="507"/>
      <c r="U95" s="56"/>
      <c r="V95" s="56"/>
    </row>
    <row r="96" spans="1:22" ht="15" customHeight="1">
      <c r="A96" s="49">
        <v>16</v>
      </c>
      <c r="B96" s="25" t="s">
        <v>17</v>
      </c>
      <c r="C96" s="521">
        <f>'[1]СОДЕРЖАНИЕ  дорог  Суб №3  (2)'!AH22</f>
        <v>164089.59999999998</v>
      </c>
      <c r="D96" s="522"/>
      <c r="E96" s="57"/>
      <c r="F96" s="57"/>
      <c r="G96" s="518">
        <f t="shared" si="25"/>
        <v>544269.800783561</v>
      </c>
      <c r="H96" s="520"/>
      <c r="I96" s="521">
        <f>C96*I80</f>
        <v>246134.39999999997</v>
      </c>
      <c r="J96" s="522"/>
      <c r="K96" s="58"/>
      <c r="L96" s="33"/>
      <c r="M96" s="518"/>
      <c r="N96" s="519"/>
      <c r="Q96" s="506"/>
      <c r="R96" s="507"/>
      <c r="U96" s="56"/>
      <c r="V96" s="56"/>
    </row>
    <row r="97" spans="1:22" ht="15" customHeight="1">
      <c r="A97" s="60"/>
      <c r="B97" s="61" t="s">
        <v>27</v>
      </c>
      <c r="C97" s="513">
        <f>SUM(C81:D96)</f>
        <v>2277462.32</v>
      </c>
      <c r="D97" s="514"/>
      <c r="E97" s="513">
        <f>SUM(E81:F96)</f>
        <v>2738445</v>
      </c>
      <c r="F97" s="514"/>
      <c r="G97" s="515">
        <f t="shared" si="25"/>
        <v>9723101.680620778</v>
      </c>
      <c r="H97" s="511"/>
      <c r="I97" s="516">
        <f>SUM(I81:J96)</f>
        <v>3416193.48</v>
      </c>
      <c r="J97" s="517"/>
      <c r="K97" s="513">
        <f>SUM(K81:L96)</f>
        <v>7500000</v>
      </c>
      <c r="L97" s="514"/>
      <c r="M97" s="518">
        <f>G97-I97-K97</f>
        <v>-1193091.799379222</v>
      </c>
      <c r="N97" s="519"/>
      <c r="Q97" s="506"/>
      <c r="R97" s="507"/>
      <c r="U97" s="56"/>
      <c r="V97" s="56"/>
    </row>
    <row r="98" spans="1:18" ht="15" customHeight="1" thickBot="1">
      <c r="A98" s="62"/>
      <c r="B98" s="63"/>
      <c r="C98" s="508">
        <f>SUM(C97:F97)</f>
        <v>5015907.32</v>
      </c>
      <c r="D98" s="509"/>
      <c r="E98" s="509"/>
      <c r="F98" s="509"/>
      <c r="G98" s="63"/>
      <c r="H98" s="63"/>
      <c r="I98" s="510">
        <f>SUM(I97:L97)</f>
        <v>10916193.48</v>
      </c>
      <c r="J98" s="511"/>
      <c r="K98" s="511"/>
      <c r="L98" s="511"/>
      <c r="M98" s="63"/>
      <c r="N98" s="64"/>
      <c r="O98" s="506"/>
      <c r="P98" s="507"/>
      <c r="Q98" s="507"/>
      <c r="R98" s="507"/>
    </row>
    <row r="99" spans="15:18" ht="15" customHeight="1">
      <c r="O99" s="512"/>
      <c r="P99" s="507"/>
      <c r="Q99" s="507"/>
      <c r="R99" s="507"/>
    </row>
    <row r="100" spans="2:11" ht="15" customHeight="1">
      <c r="B100" s="65" t="s">
        <v>40</v>
      </c>
      <c r="C100" s="505">
        <f>C98+G78</f>
        <v>9723599.600000001</v>
      </c>
      <c r="D100" s="505"/>
      <c r="E100" s="505"/>
      <c r="F100" s="505"/>
      <c r="G100" s="66">
        <f>C98+I78</f>
        <v>34972199.6</v>
      </c>
      <c r="J100" s="11">
        <f>I97/G97</f>
        <v>0.351348118348783</v>
      </c>
      <c r="K100" s="67">
        <f>G97*0.7</f>
        <v>6806171.176434545</v>
      </c>
    </row>
    <row r="102" spans="7:8" ht="15" customHeight="1">
      <c r="G102" s="506">
        <f>I97+K94+K89+K92</f>
        <v>6016193.48</v>
      </c>
      <c r="H102" s="507"/>
    </row>
    <row r="103" ht="15" customHeight="1">
      <c r="G103" s="68">
        <f>G102/G97</f>
        <v>0.6187525007571342</v>
      </c>
    </row>
  </sheetData>
  <sheetProtection/>
  <mergeCells count="278">
    <mergeCell ref="D43:F43"/>
    <mergeCell ref="H43:J43"/>
    <mergeCell ref="L43:N43"/>
    <mergeCell ref="A1:A2"/>
    <mergeCell ref="B1:B2"/>
    <mergeCell ref="C1:F1"/>
    <mergeCell ref="G1:J1"/>
    <mergeCell ref="K1:N1"/>
    <mergeCell ref="D2:F2"/>
    <mergeCell ref="H2:J2"/>
    <mergeCell ref="A21:N21"/>
    <mergeCell ref="A40:N40"/>
    <mergeCell ref="D42:F42"/>
    <mergeCell ref="H42:J42"/>
    <mergeCell ref="L42:N42"/>
    <mergeCell ref="K2:M2"/>
    <mergeCell ref="D44:F44"/>
    <mergeCell ref="H44:J44"/>
    <mergeCell ref="L44:N44"/>
    <mergeCell ref="D45:F45"/>
    <mergeCell ref="H45:J45"/>
    <mergeCell ref="L45:N45"/>
    <mergeCell ref="D46:F46"/>
    <mergeCell ref="H46:J46"/>
    <mergeCell ref="L46:N46"/>
    <mergeCell ref="D47:F47"/>
    <mergeCell ref="H47:J47"/>
    <mergeCell ref="L47:N47"/>
    <mergeCell ref="D48:F48"/>
    <mergeCell ref="H48:J48"/>
    <mergeCell ref="L48:N48"/>
    <mergeCell ref="D49:F49"/>
    <mergeCell ref="H49:J49"/>
    <mergeCell ref="L49:N49"/>
    <mergeCell ref="D50:F50"/>
    <mergeCell ref="H50:J50"/>
    <mergeCell ref="L50:N50"/>
    <mergeCell ref="D51:F51"/>
    <mergeCell ref="H51:J51"/>
    <mergeCell ref="L51:N51"/>
    <mergeCell ref="D52:F52"/>
    <mergeCell ref="H52:J52"/>
    <mergeCell ref="L52:N52"/>
    <mergeCell ref="D53:F53"/>
    <mergeCell ref="H53:J53"/>
    <mergeCell ref="L53:N53"/>
    <mergeCell ref="D54:F54"/>
    <mergeCell ref="H54:J54"/>
    <mergeCell ref="L54:N54"/>
    <mergeCell ref="D55:F55"/>
    <mergeCell ref="H55:J55"/>
    <mergeCell ref="L55:N55"/>
    <mergeCell ref="D56:F56"/>
    <mergeCell ref="H56:J56"/>
    <mergeCell ref="L56:N56"/>
    <mergeCell ref="D57:F57"/>
    <mergeCell ref="H57:J57"/>
    <mergeCell ref="L57:N57"/>
    <mergeCell ref="D58:F58"/>
    <mergeCell ref="H58:J58"/>
    <mergeCell ref="L58:N58"/>
    <mergeCell ref="K60:L61"/>
    <mergeCell ref="M60:N61"/>
    <mergeCell ref="C61:D61"/>
    <mergeCell ref="E61:F61"/>
    <mergeCell ref="G61:H61"/>
    <mergeCell ref="I61:J61"/>
    <mergeCell ref="A60:B61"/>
    <mergeCell ref="C60:J60"/>
    <mergeCell ref="K62:L62"/>
    <mergeCell ref="M62:N62"/>
    <mergeCell ref="C62:D62"/>
    <mergeCell ref="E62:F62"/>
    <mergeCell ref="K63:L63"/>
    <mergeCell ref="M63:N63"/>
    <mergeCell ref="G62:H62"/>
    <mergeCell ref="I62:J62"/>
    <mergeCell ref="G65:H65"/>
    <mergeCell ref="I65:J65"/>
    <mergeCell ref="C63:D63"/>
    <mergeCell ref="E63:F63"/>
    <mergeCell ref="G63:H63"/>
    <mergeCell ref="I63:J63"/>
    <mergeCell ref="K67:L67"/>
    <mergeCell ref="M67:N67"/>
    <mergeCell ref="C64:D64"/>
    <mergeCell ref="E64:F64"/>
    <mergeCell ref="G64:H64"/>
    <mergeCell ref="I64:J64"/>
    <mergeCell ref="M66:N66"/>
    <mergeCell ref="C65:D65"/>
    <mergeCell ref="E65:F65"/>
    <mergeCell ref="K64:L64"/>
    <mergeCell ref="M64:N64"/>
    <mergeCell ref="K65:L65"/>
    <mergeCell ref="M65:N65"/>
    <mergeCell ref="M68:N68"/>
    <mergeCell ref="C66:D66"/>
    <mergeCell ref="E66:F66"/>
    <mergeCell ref="C67:D67"/>
    <mergeCell ref="E67:F67"/>
    <mergeCell ref="G67:H67"/>
    <mergeCell ref="I67:J67"/>
    <mergeCell ref="G66:H66"/>
    <mergeCell ref="I66:J66"/>
    <mergeCell ref="K66:L66"/>
    <mergeCell ref="C68:D68"/>
    <mergeCell ref="E68:F68"/>
    <mergeCell ref="G68:H68"/>
    <mergeCell ref="I68:J68"/>
    <mergeCell ref="I69:J69"/>
    <mergeCell ref="K69:L69"/>
    <mergeCell ref="K68:L68"/>
    <mergeCell ref="E69:F69"/>
    <mergeCell ref="G69:H69"/>
    <mergeCell ref="G71:H71"/>
    <mergeCell ref="I71:J71"/>
    <mergeCell ref="M69:N69"/>
    <mergeCell ref="C70:D70"/>
    <mergeCell ref="E70:F70"/>
    <mergeCell ref="G70:H70"/>
    <mergeCell ref="I70:J70"/>
    <mergeCell ref="K70:L70"/>
    <mergeCell ref="K71:L71"/>
    <mergeCell ref="I72:J72"/>
    <mergeCell ref="K72:L72"/>
    <mergeCell ref="C73:D73"/>
    <mergeCell ref="E73:F73"/>
    <mergeCell ref="G73:H73"/>
    <mergeCell ref="I73:J73"/>
    <mergeCell ref="E72:F72"/>
    <mergeCell ref="G72:H72"/>
    <mergeCell ref="E74:F74"/>
    <mergeCell ref="G74:H74"/>
    <mergeCell ref="I74:J74"/>
    <mergeCell ref="M70:N70"/>
    <mergeCell ref="M71:N71"/>
    <mergeCell ref="K74:L74"/>
    <mergeCell ref="M72:N72"/>
    <mergeCell ref="K73:L73"/>
    <mergeCell ref="M73:N73"/>
    <mergeCell ref="E71:F71"/>
    <mergeCell ref="E75:F75"/>
    <mergeCell ref="G75:H75"/>
    <mergeCell ref="I75:J75"/>
    <mergeCell ref="K75:L75"/>
    <mergeCell ref="G76:H76"/>
    <mergeCell ref="I76:J76"/>
    <mergeCell ref="K76:L76"/>
    <mergeCell ref="M74:N74"/>
    <mergeCell ref="M75:N75"/>
    <mergeCell ref="K78:L78"/>
    <mergeCell ref="M78:N78"/>
    <mergeCell ref="M76:N76"/>
    <mergeCell ref="C77:D77"/>
    <mergeCell ref="E77:F77"/>
    <mergeCell ref="G77:H77"/>
    <mergeCell ref="I77:J77"/>
    <mergeCell ref="K77:L77"/>
    <mergeCell ref="M77:N77"/>
    <mergeCell ref="E76:F76"/>
    <mergeCell ref="C78:D78"/>
    <mergeCell ref="E78:F78"/>
    <mergeCell ref="G78:H78"/>
    <mergeCell ref="I78:J78"/>
    <mergeCell ref="M79:N80"/>
    <mergeCell ref="C80:D80"/>
    <mergeCell ref="E80:F80"/>
    <mergeCell ref="A79:B80"/>
    <mergeCell ref="C79:F79"/>
    <mergeCell ref="G79:H80"/>
    <mergeCell ref="I79:J79"/>
    <mergeCell ref="I80:J80"/>
    <mergeCell ref="K80:L80"/>
    <mergeCell ref="C82:D82"/>
    <mergeCell ref="G82:H82"/>
    <mergeCell ref="I82:J82"/>
    <mergeCell ref="K79:L79"/>
    <mergeCell ref="Q80:R80"/>
    <mergeCell ref="K81:L81"/>
    <mergeCell ref="M81:N81"/>
    <mergeCell ref="Q81:R81"/>
    <mergeCell ref="Q82:R82"/>
    <mergeCell ref="C81:D81"/>
    <mergeCell ref="E81:F81"/>
    <mergeCell ref="G81:H81"/>
    <mergeCell ref="I81:J81"/>
    <mergeCell ref="M82:N82"/>
    <mergeCell ref="K85:L85"/>
    <mergeCell ref="M85:N85"/>
    <mergeCell ref="I84:J84"/>
    <mergeCell ref="Q85:R85"/>
    <mergeCell ref="C83:D83"/>
    <mergeCell ref="G83:H83"/>
    <mergeCell ref="I83:J83"/>
    <mergeCell ref="M83:N83"/>
    <mergeCell ref="Q83:R83"/>
    <mergeCell ref="M84:N84"/>
    <mergeCell ref="Q84:R84"/>
    <mergeCell ref="C84:D84"/>
    <mergeCell ref="G84:H84"/>
    <mergeCell ref="C86:D86"/>
    <mergeCell ref="G86:H86"/>
    <mergeCell ref="I86:J86"/>
    <mergeCell ref="C85:D85"/>
    <mergeCell ref="G85:H85"/>
    <mergeCell ref="I85:J85"/>
    <mergeCell ref="I88:J88"/>
    <mergeCell ref="C88:D88"/>
    <mergeCell ref="E88:F88"/>
    <mergeCell ref="G88:H88"/>
    <mergeCell ref="C87:D87"/>
    <mergeCell ref="G87:H87"/>
    <mergeCell ref="I87:J87"/>
    <mergeCell ref="M87:N87"/>
    <mergeCell ref="K88:L88"/>
    <mergeCell ref="M88:N88"/>
    <mergeCell ref="Q88:R88"/>
    <mergeCell ref="M86:N86"/>
    <mergeCell ref="M89:N89"/>
    <mergeCell ref="Q89:R89"/>
    <mergeCell ref="Q86:R86"/>
    <mergeCell ref="Q87:R87"/>
    <mergeCell ref="C89:D89"/>
    <mergeCell ref="G89:H89"/>
    <mergeCell ref="I89:J89"/>
    <mergeCell ref="K89:L89"/>
    <mergeCell ref="Q91:R91"/>
    <mergeCell ref="C90:D90"/>
    <mergeCell ref="G90:H90"/>
    <mergeCell ref="I90:J90"/>
    <mergeCell ref="M90:N90"/>
    <mergeCell ref="C91:D91"/>
    <mergeCell ref="G91:H91"/>
    <mergeCell ref="I91:J91"/>
    <mergeCell ref="M91:N91"/>
    <mergeCell ref="Q90:R90"/>
    <mergeCell ref="C93:D93"/>
    <mergeCell ref="G93:H93"/>
    <mergeCell ref="I93:J93"/>
    <mergeCell ref="M92:N92"/>
    <mergeCell ref="G94:H94"/>
    <mergeCell ref="I94:J94"/>
    <mergeCell ref="C92:D92"/>
    <mergeCell ref="G92:H92"/>
    <mergeCell ref="I92:J92"/>
    <mergeCell ref="K92:L92"/>
    <mergeCell ref="Q95:R95"/>
    <mergeCell ref="C94:D94"/>
    <mergeCell ref="E94:F94"/>
    <mergeCell ref="M93:N93"/>
    <mergeCell ref="Q92:R92"/>
    <mergeCell ref="Q93:R93"/>
    <mergeCell ref="K94:L94"/>
    <mergeCell ref="M94:N94"/>
    <mergeCell ref="Q94:R94"/>
    <mergeCell ref="C95:D95"/>
    <mergeCell ref="G95:H95"/>
    <mergeCell ref="I95:J95"/>
    <mergeCell ref="M95:N95"/>
    <mergeCell ref="C96:D96"/>
    <mergeCell ref="G96:H96"/>
    <mergeCell ref="I96:J96"/>
    <mergeCell ref="M96:N96"/>
    <mergeCell ref="Q96:R96"/>
    <mergeCell ref="C97:D97"/>
    <mergeCell ref="E97:F97"/>
    <mergeCell ref="G97:H97"/>
    <mergeCell ref="I97:J97"/>
    <mergeCell ref="K97:L97"/>
    <mergeCell ref="M97:N97"/>
    <mergeCell ref="Q97:R97"/>
    <mergeCell ref="C100:F100"/>
    <mergeCell ref="G102:H102"/>
    <mergeCell ref="C98:F98"/>
    <mergeCell ref="I98:L98"/>
    <mergeCell ref="O98:R98"/>
    <mergeCell ref="O99:R9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43"/>
  <sheetViews>
    <sheetView view="pageBreakPreview" zoomScaleSheetLayoutView="100" zoomScalePageLayoutView="0" workbookViewId="0" topLeftCell="A1">
      <selection activeCell="C19" sqref="C19"/>
    </sheetView>
  </sheetViews>
  <sheetFormatPr defaultColWidth="9.00390625" defaultRowHeight="12.75"/>
  <cols>
    <col min="1" max="1" width="11.625" style="72" customWidth="1"/>
    <col min="2" max="2" width="20.625" style="72" customWidth="1"/>
    <col min="3" max="3" width="13.75390625" style="72" customWidth="1"/>
    <col min="4" max="4" width="13.625" style="72" customWidth="1"/>
    <col min="5" max="5" width="13.00390625" style="72" customWidth="1"/>
    <col min="6" max="6" width="13.375" style="72" customWidth="1"/>
    <col min="7" max="7" width="10.125" style="72" bestFit="1" customWidth="1"/>
    <col min="8" max="16384" width="9.125" style="72" customWidth="1"/>
  </cols>
  <sheetData>
    <row r="2" spans="1:6" ht="12.75">
      <c r="A2" s="571"/>
      <c r="B2" s="571"/>
      <c r="C2" s="270" t="s">
        <v>76</v>
      </c>
      <c r="D2" s="270" t="s">
        <v>143</v>
      </c>
      <c r="E2" s="270" t="s">
        <v>144</v>
      </c>
      <c r="F2" s="270" t="s">
        <v>145</v>
      </c>
    </row>
    <row r="3" spans="1:6" ht="12.75">
      <c r="A3" s="571" t="s">
        <v>142</v>
      </c>
      <c r="B3" s="270" t="s">
        <v>146</v>
      </c>
      <c r="C3" s="271">
        <f>SUM(D3:F3)</f>
        <v>2240102</v>
      </c>
      <c r="D3" s="271">
        <f>'[5]Содержание'!$E$16</f>
        <v>67729</v>
      </c>
      <c r="E3" s="271">
        <f>'[5]Зимники'!$M$9</f>
        <v>2172373</v>
      </c>
      <c r="F3" s="271">
        <v>0</v>
      </c>
    </row>
    <row r="4" spans="1:6" ht="12.75">
      <c r="A4" s="571"/>
      <c r="B4" s="571" t="s">
        <v>147</v>
      </c>
      <c r="C4" s="574">
        <f>SUM(D4:F8)</f>
        <v>2534360.8</v>
      </c>
      <c r="D4" s="271">
        <f>'[6]Лойга'!$D$30</f>
        <v>96258.8</v>
      </c>
      <c r="E4" s="271">
        <f>'[6]Лойга'!$D$12*1000</f>
        <v>2038047.75</v>
      </c>
      <c r="F4" s="271">
        <f>'[6]Лойга'!$D$35</f>
        <v>43554.2</v>
      </c>
    </row>
    <row r="5" spans="1:6" ht="12.75">
      <c r="A5" s="571"/>
      <c r="B5" s="571"/>
      <c r="C5" s="574"/>
      <c r="D5" s="271"/>
      <c r="E5" s="271"/>
      <c r="F5" s="271">
        <f>'[6]Лойга'!$D$36</f>
        <v>99664.8</v>
      </c>
    </row>
    <row r="6" spans="1:6" ht="12.75">
      <c r="A6" s="571"/>
      <c r="B6" s="571"/>
      <c r="C6" s="574"/>
      <c r="D6" s="271"/>
      <c r="E6" s="271"/>
      <c r="F6" s="271">
        <f>'[6]Лойга'!$D$37</f>
        <v>58835.25</v>
      </c>
    </row>
    <row r="7" spans="1:6" ht="12.75">
      <c r="A7" s="571"/>
      <c r="B7" s="571"/>
      <c r="C7" s="574"/>
      <c r="D7" s="271"/>
      <c r="E7" s="271"/>
      <c r="F7" s="271">
        <f>'[6]Лойга'!$D$32</f>
        <v>99000</v>
      </c>
    </row>
    <row r="8" spans="1:6" ht="12.75">
      <c r="A8" s="571"/>
      <c r="B8" s="571"/>
      <c r="C8" s="574"/>
      <c r="D8" s="271"/>
      <c r="E8" s="271"/>
      <c r="F8" s="271">
        <f>'[6]Лойга'!$D$33</f>
        <v>99000</v>
      </c>
    </row>
    <row r="9" spans="1:6" ht="12.75">
      <c r="A9" s="270"/>
      <c r="B9" s="270" t="s">
        <v>149</v>
      </c>
      <c r="C9" s="271">
        <f>C4-C3</f>
        <v>294258.7999999998</v>
      </c>
      <c r="D9" s="271">
        <f>D4-D3</f>
        <v>28529.800000000003</v>
      </c>
      <c r="E9" s="271">
        <f>E4-E3</f>
        <v>-134325.25</v>
      </c>
      <c r="F9" s="271">
        <f>F4+F5+F6+F7+F8-F3</f>
        <v>400054.25</v>
      </c>
    </row>
    <row r="10" spans="1:6" ht="12.75">
      <c r="A10" s="270"/>
      <c r="B10" s="270" t="s">
        <v>148</v>
      </c>
      <c r="C10" s="271">
        <f>'[7]ИсполнениеСоглашений'!$E$9</f>
        <v>1613294.6600000001</v>
      </c>
      <c r="D10" s="271">
        <v>0</v>
      </c>
      <c r="E10" s="271">
        <f>C10-F10</f>
        <v>1213240.4100000001</v>
      </c>
      <c r="F10" s="271">
        <v>400054.25</v>
      </c>
    </row>
    <row r="11" spans="1:6" ht="12.75">
      <c r="A11" s="270"/>
      <c r="B11" s="270" t="s">
        <v>150</v>
      </c>
      <c r="C11" s="273">
        <f>C3-C10</f>
        <v>626807.3399999999</v>
      </c>
      <c r="D11" s="271">
        <f>D3-D10</f>
        <v>67729</v>
      </c>
      <c r="E11" s="271">
        <f>E3-E10</f>
        <v>959132.5899999999</v>
      </c>
      <c r="F11" s="271">
        <f>F3-F10</f>
        <v>-400054.25</v>
      </c>
    </row>
    <row r="12" spans="1:6" ht="7.5" customHeight="1">
      <c r="A12" s="270"/>
      <c r="B12" s="270"/>
      <c r="C12" s="271"/>
      <c r="D12" s="271"/>
      <c r="E12" s="271"/>
      <c r="F12" s="271"/>
    </row>
    <row r="13" spans="1:6" ht="12.75">
      <c r="A13" s="271">
        <f>C4-C10</f>
        <v>921066.1399999997</v>
      </c>
      <c r="B13" s="270" t="s">
        <v>151</v>
      </c>
      <c r="C13" s="271">
        <f>C11+C9</f>
        <v>921066.1399999997</v>
      </c>
      <c r="D13" s="271">
        <f>D11+D9</f>
        <v>96258.8</v>
      </c>
      <c r="E13" s="271">
        <f>E11+E9</f>
        <v>824807.3399999999</v>
      </c>
      <c r="F13" s="271">
        <f>F11+F9</f>
        <v>0</v>
      </c>
    </row>
    <row r="14" spans="1:6" ht="7.5" customHeight="1">
      <c r="A14" s="572"/>
      <c r="B14" s="572"/>
      <c r="C14" s="572"/>
      <c r="D14" s="572"/>
      <c r="E14" s="572"/>
      <c r="F14" s="572"/>
    </row>
    <row r="15" spans="2:7" ht="12.75">
      <c r="B15" s="270" t="s">
        <v>152</v>
      </c>
      <c r="C15" s="273">
        <f>'[7]ИсполнениеСоглашений'!$H$9</f>
        <v>517870.4799999999</v>
      </c>
      <c r="D15" s="271">
        <f>D13</f>
        <v>96258.8</v>
      </c>
      <c r="E15" s="271">
        <f>C15-D15</f>
        <v>421611.67999999993</v>
      </c>
      <c r="F15" s="271"/>
      <c r="G15" s="270"/>
    </row>
    <row r="16" spans="2:7" ht="12.75">
      <c r="B16" s="270"/>
      <c r="C16" s="271"/>
      <c r="D16" s="271"/>
      <c r="E16" s="271"/>
      <c r="F16" s="271" t="s">
        <v>153</v>
      </c>
      <c r="G16" s="270" t="s">
        <v>154</v>
      </c>
    </row>
    <row r="17" spans="2:7" ht="12.75">
      <c r="B17" s="270" t="s">
        <v>39</v>
      </c>
      <c r="C17" s="271">
        <f>C13-C15</f>
        <v>403195.65999999974</v>
      </c>
      <c r="D17" s="271">
        <f>D13-D15</f>
        <v>0</v>
      </c>
      <c r="E17" s="271">
        <f>E13-E15</f>
        <v>403195.6599999999</v>
      </c>
      <c r="F17" s="271">
        <f>E17-C9</f>
        <v>108936.8600000001</v>
      </c>
      <c r="G17" s="271">
        <f>E17-F17</f>
        <v>294258.7999999998</v>
      </c>
    </row>
    <row r="18" spans="2:7" ht="12.75">
      <c r="B18" s="270"/>
      <c r="C18" s="270"/>
      <c r="D18" s="270"/>
      <c r="E18" s="270"/>
      <c r="F18" s="270"/>
      <c r="G18" s="270"/>
    </row>
    <row r="19" spans="2:7" ht="12.75">
      <c r="B19" s="270" t="s">
        <v>152</v>
      </c>
      <c r="C19" s="273">
        <f>SUM(D19:E19)</f>
        <v>241109.82</v>
      </c>
      <c r="D19" s="271">
        <v>0</v>
      </c>
      <c r="E19" s="271">
        <f>'[8]межселенческие'!$G$11</f>
        <v>241109.82</v>
      </c>
      <c r="F19" s="271">
        <f>F17</f>
        <v>108936.8600000001</v>
      </c>
      <c r="G19" s="271">
        <f>E19-F19</f>
        <v>132172.9599999999</v>
      </c>
    </row>
    <row r="20" spans="2:7" ht="12.75">
      <c r="B20" s="270"/>
      <c r="C20" s="270"/>
      <c r="D20" s="270"/>
      <c r="E20" s="270"/>
      <c r="F20" s="270"/>
      <c r="G20" s="270"/>
    </row>
    <row r="21" spans="2:7" ht="12.75">
      <c r="B21" s="270" t="s">
        <v>39</v>
      </c>
      <c r="C21" s="271">
        <f>C17-C19</f>
        <v>162085.83999999973</v>
      </c>
      <c r="D21" s="271">
        <f>D17-D19</f>
        <v>0</v>
      </c>
      <c r="E21" s="271">
        <f>E17-E19</f>
        <v>162085.8399999999</v>
      </c>
      <c r="F21" s="270">
        <v>0</v>
      </c>
      <c r="G21" s="273">
        <f>E21</f>
        <v>162085.8399999999</v>
      </c>
    </row>
    <row r="22" spans="3:7" ht="12.75">
      <c r="C22" s="272">
        <f>C15+C19</f>
        <v>758980.2999999999</v>
      </c>
      <c r="F22" s="573" t="s">
        <v>155</v>
      </c>
      <c r="G22" s="573"/>
    </row>
    <row r="24" spans="1:6" ht="12.75">
      <c r="A24" s="571"/>
      <c r="B24" s="571"/>
      <c r="C24" s="270" t="s">
        <v>76</v>
      </c>
      <c r="D24" s="270" t="s">
        <v>143</v>
      </c>
      <c r="E24" s="270" t="s">
        <v>144</v>
      </c>
      <c r="F24" s="270" t="s">
        <v>145</v>
      </c>
    </row>
    <row r="25" spans="1:6" ht="12.75">
      <c r="A25" s="571">
        <v>2015</v>
      </c>
      <c r="B25" s="270" t="s">
        <v>146</v>
      </c>
      <c r="C25" s="271">
        <f>SUM(D25:F25)</f>
        <v>1677729</v>
      </c>
      <c r="D25" s="271">
        <f>'[5]Содержание'!$E$16</f>
        <v>67729</v>
      </c>
      <c r="E25" s="271">
        <f>'[4]СводныйРасчет(безТрНалога)'!$F$15</f>
        <v>1610000</v>
      </c>
      <c r="F25" s="271">
        <v>0</v>
      </c>
    </row>
    <row r="26" spans="1:6" ht="12.75">
      <c r="A26" s="571"/>
      <c r="B26" s="571" t="s">
        <v>147</v>
      </c>
      <c r="C26" s="574">
        <f>SUM(D26:F30)</f>
        <v>1568505.77</v>
      </c>
      <c r="D26" s="271">
        <f>D25</f>
        <v>67729</v>
      </c>
      <c r="E26" s="273">
        <f>G21</f>
        <v>162085.8399999999</v>
      </c>
      <c r="F26" s="271">
        <v>90000</v>
      </c>
    </row>
    <row r="27" spans="1:6" ht="12.75">
      <c r="A27" s="571"/>
      <c r="B27" s="571"/>
      <c r="C27" s="574"/>
      <c r="D27" s="271"/>
      <c r="E27" s="271">
        <f>99000</f>
        <v>99000</v>
      </c>
      <c r="F27" s="271"/>
    </row>
    <row r="28" spans="1:6" ht="12.75">
      <c r="A28" s="571"/>
      <c r="B28" s="571"/>
      <c r="C28" s="574"/>
      <c r="D28" s="271"/>
      <c r="E28" s="271">
        <f>99000</f>
        <v>99000</v>
      </c>
      <c r="F28" s="271"/>
    </row>
    <row r="29" spans="1:6" ht="12.75">
      <c r="A29" s="571"/>
      <c r="B29" s="571"/>
      <c r="C29" s="574"/>
      <c r="D29" s="271"/>
      <c r="E29" s="274">
        <f>'[6]Лойга'!$E$17*1000</f>
        <v>222456.93</v>
      </c>
      <c r="F29" s="271"/>
    </row>
    <row r="30" spans="1:6" ht="12.75">
      <c r="A30" s="571"/>
      <c r="B30" s="571"/>
      <c r="C30" s="574"/>
      <c r="D30" s="271"/>
      <c r="E30" s="271">
        <f>'[6]Лойга'!$E$14*1000</f>
        <v>828234</v>
      </c>
      <c r="F30" s="271"/>
    </row>
    <row r="31" spans="1:6" ht="12.75">
      <c r="A31" s="270"/>
      <c r="B31" s="270" t="s">
        <v>149</v>
      </c>
      <c r="C31" s="271">
        <f>C26-C25</f>
        <v>-109223.22999999998</v>
      </c>
      <c r="D31" s="271">
        <f>D26-D25</f>
        <v>0</v>
      </c>
      <c r="E31" s="271">
        <f>E26+E27+E28+E29+E30-E25</f>
        <v>-199223.22999999998</v>
      </c>
      <c r="F31" s="271">
        <f>F26+F27+F28+F29+F30-F25</f>
        <v>90000</v>
      </c>
    </row>
    <row r="32" spans="3:5" ht="12.75">
      <c r="C32" s="72" t="s">
        <v>161</v>
      </c>
      <c r="D32" s="72" t="s">
        <v>162</v>
      </c>
      <c r="E32" s="72" t="s">
        <v>163</v>
      </c>
    </row>
    <row r="33" spans="2:5" ht="12.75">
      <c r="B33" s="72" t="s">
        <v>157</v>
      </c>
      <c r="C33" s="269">
        <v>2283319.64</v>
      </c>
      <c r="D33" s="269">
        <f>C33</f>
        <v>2283319.64</v>
      </c>
      <c r="E33" s="269">
        <f>D33</f>
        <v>2283319.64</v>
      </c>
    </row>
    <row r="34" spans="2:5" ht="12.75">
      <c r="B34" s="72" t="s">
        <v>156</v>
      </c>
      <c r="C34" s="269">
        <f>0-C31</f>
        <v>109223.22999999998</v>
      </c>
      <c r="D34" s="269">
        <f>C34+E29</f>
        <v>331680.16</v>
      </c>
      <c r="E34" s="269">
        <f>D34</f>
        <v>331680.16</v>
      </c>
    </row>
    <row r="36" spans="3:5" ht="12.75">
      <c r="C36" s="269">
        <f>C33-C34</f>
        <v>2174096.41</v>
      </c>
      <c r="D36" s="269">
        <f>D33-D34</f>
        <v>1951639.4800000002</v>
      </c>
      <c r="E36" s="269">
        <f>E33-E34</f>
        <v>1951639.4800000002</v>
      </c>
    </row>
    <row r="37" spans="2:5" ht="12.75">
      <c r="B37" s="72" t="s">
        <v>158</v>
      </c>
      <c r="C37" s="269">
        <v>300000</v>
      </c>
      <c r="D37" s="269">
        <v>200000</v>
      </c>
      <c r="E37" s="269">
        <v>300000</v>
      </c>
    </row>
    <row r="38" spans="2:5" ht="12.75">
      <c r="B38" s="72" t="s">
        <v>159</v>
      </c>
      <c r="C38" s="269">
        <v>0</v>
      </c>
      <c r="D38" s="269">
        <v>200000</v>
      </c>
      <c r="E38" s="269">
        <v>300000</v>
      </c>
    </row>
    <row r="39" spans="2:5" ht="12.75">
      <c r="B39" s="72" t="s">
        <v>160</v>
      </c>
      <c r="C39" s="269">
        <f>C36-C37</f>
        <v>1874096.4100000001</v>
      </c>
      <c r="D39" s="269">
        <f>D36-D37-D38</f>
        <v>1551639.4800000002</v>
      </c>
      <c r="E39" s="269">
        <f>E36-E37-E38</f>
        <v>1351639.4800000002</v>
      </c>
    </row>
    <row r="40" spans="3:5" ht="12.75">
      <c r="C40" s="269"/>
      <c r="D40" s="269"/>
      <c r="E40" s="269"/>
    </row>
    <row r="41" spans="2:5" ht="12.75">
      <c r="B41" s="72" t="s">
        <v>164</v>
      </c>
      <c r="C41" s="269">
        <f>Зимники!L11+Мосты!K9-Лойга!C39</f>
        <v>1364622.589999985</v>
      </c>
      <c r="D41" s="269">
        <f>Зимники!L10+Мосты!K9-Лойга!D39</f>
        <v>997079.5199999849</v>
      </c>
      <c r="E41" s="269">
        <f>Зимники!L11+Мосты!K9-Лойга!E39</f>
        <v>1887079.519999985</v>
      </c>
    </row>
    <row r="42" spans="2:5" ht="12.75">
      <c r="B42" s="72" t="s">
        <v>165</v>
      </c>
      <c r="C42" s="269">
        <v>600000</v>
      </c>
      <c r="D42" s="269">
        <v>850000</v>
      </c>
      <c r="E42" s="269">
        <v>950000</v>
      </c>
    </row>
    <row r="43" spans="2:5" ht="12.75">
      <c r="B43" s="72" t="s">
        <v>166</v>
      </c>
      <c r="C43" s="269">
        <f>C41-C42</f>
        <v>764622.589999985</v>
      </c>
      <c r="D43" s="269">
        <f>D41-D42</f>
        <v>147079.51999998488</v>
      </c>
      <c r="E43" s="269">
        <f>E41-E42</f>
        <v>937079.5199999849</v>
      </c>
    </row>
  </sheetData>
  <sheetProtection/>
  <mergeCells count="10">
    <mergeCell ref="A2:B2"/>
    <mergeCell ref="A14:F14"/>
    <mergeCell ref="F22:G22"/>
    <mergeCell ref="A24:B24"/>
    <mergeCell ref="A25:A30"/>
    <mergeCell ref="B26:B30"/>
    <mergeCell ref="C26:C30"/>
    <mergeCell ref="C4:C8"/>
    <mergeCell ref="B4:B8"/>
    <mergeCell ref="A3:A8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83"/>
  <sheetViews>
    <sheetView view="pageBreakPreview" zoomScaleSheetLayoutView="100" zoomScalePageLayoutView="0" workbookViewId="0" topLeftCell="A34">
      <selection activeCell="D64" sqref="D64:E64"/>
    </sheetView>
  </sheetViews>
  <sheetFormatPr defaultColWidth="9.00390625" defaultRowHeight="12.75"/>
  <cols>
    <col min="1" max="1" width="4.00390625" style="1" customWidth="1"/>
    <col min="2" max="2" width="16.625" style="1" customWidth="1"/>
    <col min="3" max="3" width="9.75390625" style="1" customWidth="1"/>
    <col min="4" max="4" width="11.625" style="1" customWidth="1"/>
    <col min="5" max="5" width="8.00390625" style="1" customWidth="1"/>
    <col min="6" max="6" width="6.00390625" style="1" customWidth="1"/>
    <col min="7" max="7" width="6.125" style="1" customWidth="1"/>
    <col min="8" max="8" width="7.00390625" style="1" customWidth="1"/>
    <col min="9" max="9" width="7.625" style="1" customWidth="1"/>
    <col min="10" max="11" width="8.00390625" style="1" customWidth="1"/>
    <col min="12" max="12" width="6.875" style="1" customWidth="1"/>
    <col min="13" max="14" width="6.00390625" style="1" customWidth="1"/>
    <col min="15" max="15" width="13.00390625" style="1" bestFit="1" customWidth="1"/>
    <col min="16" max="16" width="11.25390625" style="1" bestFit="1" customWidth="1"/>
    <col min="17" max="16384" width="9.125" style="1" customWidth="1"/>
  </cols>
  <sheetData>
    <row r="1" spans="1:14" ht="23.25" customHeight="1">
      <c r="A1" s="595" t="s">
        <v>83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</row>
    <row r="2" spans="1:14" ht="18" customHeight="1">
      <c r="A2" s="596" t="s">
        <v>179</v>
      </c>
      <c r="B2" s="596"/>
      <c r="C2" s="596"/>
      <c r="D2" s="596"/>
      <c r="E2" s="596"/>
      <c r="F2" s="596"/>
      <c r="G2" s="596"/>
      <c r="H2" s="596"/>
      <c r="I2" s="596"/>
      <c r="J2" s="596"/>
      <c r="K2" s="596"/>
      <c r="L2" s="596"/>
      <c r="M2" s="596"/>
      <c r="N2" s="596"/>
    </row>
    <row r="3" spans="1:14" ht="11.25" customHeight="1">
      <c r="A3" s="575" t="s">
        <v>94</v>
      </c>
      <c r="B3" s="575" t="s">
        <v>2</v>
      </c>
      <c r="C3" s="462" t="s">
        <v>19</v>
      </c>
      <c r="D3" s="462"/>
      <c r="E3" s="462"/>
      <c r="F3" s="462"/>
      <c r="G3" s="462" t="s">
        <v>20</v>
      </c>
      <c r="H3" s="462"/>
      <c r="I3" s="462"/>
      <c r="J3" s="462"/>
      <c r="K3" s="598" t="s">
        <v>21</v>
      </c>
      <c r="L3" s="599"/>
      <c r="M3" s="599"/>
      <c r="N3" s="599"/>
    </row>
    <row r="4" spans="1:14" ht="31.5" customHeight="1">
      <c r="A4" s="597"/>
      <c r="B4" s="597"/>
      <c r="C4" s="575" t="s">
        <v>76</v>
      </c>
      <c r="D4" s="462" t="s">
        <v>22</v>
      </c>
      <c r="E4" s="462"/>
      <c r="F4" s="462"/>
      <c r="G4" s="575" t="s">
        <v>76</v>
      </c>
      <c r="H4" s="462" t="s">
        <v>22</v>
      </c>
      <c r="I4" s="462"/>
      <c r="J4" s="462"/>
      <c r="K4" s="575" t="s">
        <v>76</v>
      </c>
      <c r="L4" s="462" t="s">
        <v>22</v>
      </c>
      <c r="M4" s="462"/>
      <c r="N4" s="462"/>
    </row>
    <row r="5" spans="1:14" ht="10.5" customHeight="1">
      <c r="A5" s="576"/>
      <c r="B5" s="576"/>
      <c r="C5" s="576"/>
      <c r="D5" s="143" t="s">
        <v>23</v>
      </c>
      <c r="E5" s="143" t="s">
        <v>24</v>
      </c>
      <c r="F5" s="143" t="s">
        <v>25</v>
      </c>
      <c r="G5" s="576"/>
      <c r="H5" s="143" t="s">
        <v>23</v>
      </c>
      <c r="I5" s="143" t="s">
        <v>24</v>
      </c>
      <c r="J5" s="143" t="s">
        <v>25</v>
      </c>
      <c r="K5" s="576"/>
      <c r="L5" s="143" t="s">
        <v>23</v>
      </c>
      <c r="M5" s="143" t="s">
        <v>24</v>
      </c>
      <c r="N5" s="143" t="s">
        <v>25</v>
      </c>
    </row>
    <row r="6" spans="1:14" s="2" customFormat="1" ht="10.5" customHeight="1">
      <c r="A6" s="71">
        <v>1</v>
      </c>
      <c r="B6" s="6" t="s">
        <v>11</v>
      </c>
      <c r="C6" s="216">
        <v>81.5</v>
      </c>
      <c r="D6" s="216">
        <v>18.1</v>
      </c>
      <c r="E6" s="216">
        <f>69.4-D6</f>
        <v>51.300000000000004</v>
      </c>
      <c r="F6" s="216">
        <f>C6-D6-E6</f>
        <v>12.099999999999994</v>
      </c>
      <c r="G6" s="208">
        <f>H6+I6+J6</f>
        <v>28.3</v>
      </c>
      <c r="H6" s="222">
        <v>2</v>
      </c>
      <c r="I6" s="222">
        <v>0</v>
      </c>
      <c r="J6" s="222">
        <v>26.3</v>
      </c>
      <c r="K6" s="211">
        <f aca="true" t="shared" si="0" ref="K6:K21">L6+M6+N6</f>
        <v>109.8</v>
      </c>
      <c r="L6" s="209">
        <f>H6+D6</f>
        <v>20.1</v>
      </c>
      <c r="M6" s="210">
        <f aca="true" t="shared" si="1" ref="L6:N21">I6+E6</f>
        <v>51.300000000000004</v>
      </c>
      <c r="N6" s="210">
        <f t="shared" si="1"/>
        <v>38.39999999999999</v>
      </c>
    </row>
    <row r="7" spans="1:14" s="2" customFormat="1" ht="10.5" customHeight="1">
      <c r="A7" s="71">
        <v>2</v>
      </c>
      <c r="B7" s="6" t="s">
        <v>3</v>
      </c>
      <c r="C7" s="217">
        <v>31.2</v>
      </c>
      <c r="D7" s="217">
        <v>1.8</v>
      </c>
      <c r="E7" s="218">
        <f>29.05-D7</f>
        <v>27.25</v>
      </c>
      <c r="F7" s="218">
        <f aca="true" t="shared" si="2" ref="F7:F21">C7-D7-E7</f>
        <v>2.1499999999999986</v>
      </c>
      <c r="G7" s="208">
        <f aca="true" t="shared" si="3" ref="G7:G21">H7+I7+J7</f>
        <v>2.0999999999999996</v>
      </c>
      <c r="H7" s="222">
        <v>0</v>
      </c>
      <c r="I7" s="222">
        <v>1.4</v>
      </c>
      <c r="J7" s="222">
        <v>0.7</v>
      </c>
      <c r="K7" s="219">
        <f t="shared" si="0"/>
        <v>33.3</v>
      </c>
      <c r="L7" s="220">
        <f t="shared" si="1"/>
        <v>1.8</v>
      </c>
      <c r="M7" s="221">
        <f t="shared" si="1"/>
        <v>28.65</v>
      </c>
      <c r="N7" s="221">
        <f t="shared" si="1"/>
        <v>2.8499999999999988</v>
      </c>
    </row>
    <row r="8" spans="1:14" s="2" customFormat="1" ht="10.5" customHeight="1">
      <c r="A8" s="71">
        <v>3</v>
      </c>
      <c r="B8" s="6" t="s">
        <v>4</v>
      </c>
      <c r="C8" s="217">
        <v>26.7</v>
      </c>
      <c r="D8" s="217">
        <v>1</v>
      </c>
      <c r="E8" s="217">
        <f>24.8-D8</f>
        <v>23.8</v>
      </c>
      <c r="F8" s="217">
        <f t="shared" si="2"/>
        <v>1.8999999999999986</v>
      </c>
      <c r="G8" s="208">
        <f t="shared" si="3"/>
        <v>21.5</v>
      </c>
      <c r="H8" s="222">
        <v>0</v>
      </c>
      <c r="I8" s="222">
        <v>19</v>
      </c>
      <c r="J8" s="222">
        <v>2.5</v>
      </c>
      <c r="K8" s="211">
        <f t="shared" si="0"/>
        <v>48.199999999999996</v>
      </c>
      <c r="L8" s="209">
        <f t="shared" si="1"/>
        <v>1</v>
      </c>
      <c r="M8" s="210">
        <f t="shared" si="1"/>
        <v>42.8</v>
      </c>
      <c r="N8" s="210">
        <f t="shared" si="1"/>
        <v>4.399999999999999</v>
      </c>
    </row>
    <row r="9" spans="1:14" s="2" customFormat="1" ht="10.5" customHeight="1">
      <c r="A9" s="71">
        <v>4</v>
      </c>
      <c r="B9" s="6" t="s">
        <v>5</v>
      </c>
      <c r="C9" s="217">
        <v>23.9</v>
      </c>
      <c r="D9" s="217">
        <v>1.6</v>
      </c>
      <c r="E9" s="217">
        <f>5.9-D9</f>
        <v>4.300000000000001</v>
      </c>
      <c r="F9" s="217">
        <f t="shared" si="2"/>
        <v>17.999999999999996</v>
      </c>
      <c r="G9" s="208">
        <f t="shared" si="3"/>
        <v>9.9</v>
      </c>
      <c r="H9" s="222">
        <v>0</v>
      </c>
      <c r="I9" s="222">
        <v>0.5</v>
      </c>
      <c r="J9" s="222">
        <v>9.4</v>
      </c>
      <c r="K9" s="211">
        <f t="shared" si="0"/>
        <v>33.8</v>
      </c>
      <c r="L9" s="209">
        <f t="shared" si="1"/>
        <v>1.6</v>
      </c>
      <c r="M9" s="210">
        <f t="shared" si="1"/>
        <v>4.800000000000001</v>
      </c>
      <c r="N9" s="210">
        <f t="shared" si="1"/>
        <v>27.4</v>
      </c>
    </row>
    <row r="10" spans="1:14" ht="10.5" customHeight="1">
      <c r="A10" s="71">
        <v>5</v>
      </c>
      <c r="B10" s="6" t="s">
        <v>6</v>
      </c>
      <c r="C10" s="217">
        <v>31.5</v>
      </c>
      <c r="D10" s="217">
        <v>3.7</v>
      </c>
      <c r="E10" s="217">
        <f>16.9-D10</f>
        <v>13.2</v>
      </c>
      <c r="F10" s="217">
        <f t="shared" si="2"/>
        <v>14.600000000000001</v>
      </c>
      <c r="G10" s="208">
        <f t="shared" si="3"/>
        <v>75.5</v>
      </c>
      <c r="H10" s="222">
        <v>0</v>
      </c>
      <c r="I10" s="222">
        <v>5.2</v>
      </c>
      <c r="J10" s="222">
        <v>70.3</v>
      </c>
      <c r="K10" s="211">
        <f t="shared" si="0"/>
        <v>107</v>
      </c>
      <c r="L10" s="209">
        <f t="shared" si="1"/>
        <v>3.7</v>
      </c>
      <c r="M10" s="210">
        <f t="shared" si="1"/>
        <v>18.4</v>
      </c>
      <c r="N10" s="210">
        <f t="shared" si="1"/>
        <v>84.9</v>
      </c>
    </row>
    <row r="11" spans="1:14" s="2" customFormat="1" ht="10.5" customHeight="1">
      <c r="A11" s="71">
        <v>6</v>
      </c>
      <c r="B11" s="6" t="s">
        <v>7</v>
      </c>
      <c r="C11" s="217">
        <v>39.9</v>
      </c>
      <c r="D11" s="217">
        <v>3.3</v>
      </c>
      <c r="E11" s="217">
        <f>10.5-D11</f>
        <v>7.2</v>
      </c>
      <c r="F11" s="217">
        <f t="shared" si="2"/>
        <v>29.400000000000002</v>
      </c>
      <c r="G11" s="208">
        <f t="shared" si="3"/>
        <v>0</v>
      </c>
      <c r="H11" s="222">
        <v>0</v>
      </c>
      <c r="I11" s="222">
        <v>0</v>
      </c>
      <c r="J11" s="222">
        <v>0</v>
      </c>
      <c r="K11" s="211">
        <f t="shared" si="0"/>
        <v>39.900000000000006</v>
      </c>
      <c r="L11" s="209">
        <f t="shared" si="1"/>
        <v>3.3</v>
      </c>
      <c r="M11" s="210">
        <f t="shared" si="1"/>
        <v>7.2</v>
      </c>
      <c r="N11" s="210">
        <f t="shared" si="1"/>
        <v>29.400000000000002</v>
      </c>
    </row>
    <row r="12" spans="1:14" s="2" customFormat="1" ht="10.5" customHeight="1">
      <c r="A12" s="71">
        <v>7</v>
      </c>
      <c r="B12" s="6" t="s">
        <v>8</v>
      </c>
      <c r="C12" s="217">
        <v>27.6</v>
      </c>
      <c r="D12" s="217">
        <v>0</v>
      </c>
      <c r="E12" s="217">
        <f>10.5-D12</f>
        <v>10.5</v>
      </c>
      <c r="F12" s="217">
        <f t="shared" si="2"/>
        <v>17.1</v>
      </c>
      <c r="G12" s="208">
        <f t="shared" si="3"/>
        <v>20</v>
      </c>
      <c r="H12" s="222">
        <v>0</v>
      </c>
      <c r="I12" s="222">
        <v>2</v>
      </c>
      <c r="J12" s="222">
        <v>18</v>
      </c>
      <c r="K12" s="211">
        <f t="shared" si="0"/>
        <v>47.6</v>
      </c>
      <c r="L12" s="209">
        <f t="shared" si="1"/>
        <v>0</v>
      </c>
      <c r="M12" s="210">
        <f t="shared" si="1"/>
        <v>12.5</v>
      </c>
      <c r="N12" s="210">
        <f t="shared" si="1"/>
        <v>35.1</v>
      </c>
    </row>
    <row r="13" spans="1:14" s="2" customFormat="1" ht="10.5" customHeight="1">
      <c r="A13" s="71">
        <v>8</v>
      </c>
      <c r="B13" s="6" t="s">
        <v>9</v>
      </c>
      <c r="C13" s="217">
        <v>20.5</v>
      </c>
      <c r="D13" s="217">
        <v>5</v>
      </c>
      <c r="E13" s="217">
        <f>13.9-D13</f>
        <v>8.9</v>
      </c>
      <c r="F13" s="217">
        <f t="shared" si="2"/>
        <v>6.6</v>
      </c>
      <c r="G13" s="208">
        <f t="shared" si="3"/>
        <v>13.1</v>
      </c>
      <c r="H13" s="222">
        <v>0</v>
      </c>
      <c r="I13" s="222">
        <v>0</v>
      </c>
      <c r="J13" s="222">
        <v>13.1</v>
      </c>
      <c r="K13" s="211">
        <f t="shared" si="0"/>
        <v>33.6</v>
      </c>
      <c r="L13" s="209">
        <f t="shared" si="1"/>
        <v>5</v>
      </c>
      <c r="M13" s="210">
        <f t="shared" si="1"/>
        <v>8.9</v>
      </c>
      <c r="N13" s="210">
        <f t="shared" si="1"/>
        <v>19.7</v>
      </c>
    </row>
    <row r="14" spans="1:14" s="2" customFormat="1" ht="10.5" customHeight="1">
      <c r="A14" s="71">
        <v>9</v>
      </c>
      <c r="B14" s="6" t="s">
        <v>10</v>
      </c>
      <c r="C14" s="217">
        <v>19.7</v>
      </c>
      <c r="D14" s="217">
        <v>3.8</v>
      </c>
      <c r="E14" s="217">
        <f>19.7-D14</f>
        <v>15.899999999999999</v>
      </c>
      <c r="F14" s="217">
        <f t="shared" si="2"/>
        <v>0</v>
      </c>
      <c r="G14" s="208">
        <f t="shared" si="3"/>
        <v>36.5</v>
      </c>
      <c r="H14" s="222">
        <v>0.6</v>
      </c>
      <c r="I14" s="215">
        <f>21.1-0.05</f>
        <v>21.05</v>
      </c>
      <c r="J14" s="222">
        <f>14.85</f>
        <v>14.85</v>
      </c>
      <c r="K14" s="211">
        <f t="shared" si="0"/>
        <v>56.2</v>
      </c>
      <c r="L14" s="209">
        <f t="shared" si="1"/>
        <v>4.3999999999999995</v>
      </c>
      <c r="M14" s="210">
        <f t="shared" si="1"/>
        <v>36.95</v>
      </c>
      <c r="N14" s="210">
        <f t="shared" si="1"/>
        <v>14.85</v>
      </c>
    </row>
    <row r="15" spans="1:14" s="2" customFormat="1" ht="10.5" customHeight="1">
      <c r="A15" s="71">
        <v>10</v>
      </c>
      <c r="B15" s="6" t="s">
        <v>12</v>
      </c>
      <c r="C15" s="217">
        <v>11.5</v>
      </c>
      <c r="D15" s="217">
        <v>0.3</v>
      </c>
      <c r="E15" s="217">
        <f>7.7-D15</f>
        <v>7.4</v>
      </c>
      <c r="F15" s="217">
        <f t="shared" si="2"/>
        <v>3.799999999999999</v>
      </c>
      <c r="G15" s="208">
        <f t="shared" si="3"/>
        <v>1.4</v>
      </c>
      <c r="H15" s="222">
        <v>0</v>
      </c>
      <c r="I15" s="222">
        <v>0</v>
      </c>
      <c r="J15" s="222">
        <v>1.4</v>
      </c>
      <c r="K15" s="211">
        <f t="shared" si="0"/>
        <v>12.899999999999999</v>
      </c>
      <c r="L15" s="209">
        <f t="shared" si="1"/>
        <v>0.3</v>
      </c>
      <c r="M15" s="210">
        <f t="shared" si="1"/>
        <v>7.4</v>
      </c>
      <c r="N15" s="210">
        <f t="shared" si="1"/>
        <v>5.199999999999999</v>
      </c>
    </row>
    <row r="16" spans="1:14" s="2" customFormat="1" ht="10.5" customHeight="1">
      <c r="A16" s="71">
        <v>11</v>
      </c>
      <c r="B16" s="6" t="s">
        <v>13</v>
      </c>
      <c r="C16" s="217">
        <v>21.9</v>
      </c>
      <c r="D16" s="217">
        <v>1.1</v>
      </c>
      <c r="E16" s="217">
        <f>19.5-D16</f>
        <v>18.4</v>
      </c>
      <c r="F16" s="217">
        <f t="shared" si="2"/>
        <v>2.3999999999999986</v>
      </c>
      <c r="G16" s="208">
        <f t="shared" si="3"/>
        <v>17</v>
      </c>
      <c r="H16" s="222">
        <v>0</v>
      </c>
      <c r="I16" s="222">
        <v>0</v>
      </c>
      <c r="J16" s="222">
        <v>17</v>
      </c>
      <c r="K16" s="211">
        <f t="shared" si="0"/>
        <v>38.9</v>
      </c>
      <c r="L16" s="209">
        <f t="shared" si="1"/>
        <v>1.1</v>
      </c>
      <c r="M16" s="210">
        <f t="shared" si="1"/>
        <v>18.4</v>
      </c>
      <c r="N16" s="210">
        <f t="shared" si="1"/>
        <v>19.4</v>
      </c>
    </row>
    <row r="17" spans="1:14" s="2" customFormat="1" ht="10.5" customHeight="1">
      <c r="A17" s="71">
        <v>12</v>
      </c>
      <c r="B17" s="6" t="s">
        <v>26</v>
      </c>
      <c r="C17" s="217">
        <v>36.9</v>
      </c>
      <c r="D17" s="217">
        <v>1.3</v>
      </c>
      <c r="E17" s="217">
        <f>16.4-D17</f>
        <v>15.099999999999998</v>
      </c>
      <c r="F17" s="217">
        <f t="shared" si="2"/>
        <v>20.500000000000004</v>
      </c>
      <c r="G17" s="208">
        <f t="shared" si="3"/>
        <v>68.9</v>
      </c>
      <c r="H17" s="222">
        <v>0</v>
      </c>
      <c r="I17" s="222">
        <v>8.5</v>
      </c>
      <c r="J17" s="222">
        <v>60.4</v>
      </c>
      <c r="K17" s="211">
        <f t="shared" si="0"/>
        <v>105.80000000000001</v>
      </c>
      <c r="L17" s="209">
        <f t="shared" si="1"/>
        <v>1.3</v>
      </c>
      <c r="M17" s="210">
        <f t="shared" si="1"/>
        <v>23.599999999999998</v>
      </c>
      <c r="N17" s="210">
        <f t="shared" si="1"/>
        <v>80.9</v>
      </c>
    </row>
    <row r="18" spans="1:14" s="2" customFormat="1" ht="10.5" customHeight="1">
      <c r="A18" s="71">
        <v>13</v>
      </c>
      <c r="B18" s="6" t="s">
        <v>14</v>
      </c>
      <c r="C18" s="217">
        <v>12</v>
      </c>
      <c r="D18" s="217">
        <v>0</v>
      </c>
      <c r="E18" s="217">
        <f>12-D18</f>
        <v>12</v>
      </c>
      <c r="F18" s="217">
        <f t="shared" si="2"/>
        <v>0</v>
      </c>
      <c r="G18" s="208">
        <f t="shared" si="3"/>
        <v>9</v>
      </c>
      <c r="H18" s="222">
        <v>0</v>
      </c>
      <c r="I18" s="222">
        <v>3</v>
      </c>
      <c r="J18" s="222">
        <v>6</v>
      </c>
      <c r="K18" s="211">
        <f t="shared" si="0"/>
        <v>21</v>
      </c>
      <c r="L18" s="209">
        <f t="shared" si="1"/>
        <v>0</v>
      </c>
      <c r="M18" s="210">
        <f t="shared" si="1"/>
        <v>15</v>
      </c>
      <c r="N18" s="210">
        <f t="shared" si="1"/>
        <v>6</v>
      </c>
    </row>
    <row r="19" spans="1:14" s="2" customFormat="1" ht="10.5" customHeight="1">
      <c r="A19" s="71">
        <v>14</v>
      </c>
      <c r="B19" s="6" t="s">
        <v>15</v>
      </c>
      <c r="C19" s="217">
        <v>22.4</v>
      </c>
      <c r="D19" s="217">
        <v>0.1</v>
      </c>
      <c r="E19" s="217">
        <f>18.1-D19</f>
        <v>18</v>
      </c>
      <c r="F19" s="217">
        <f t="shared" si="2"/>
        <v>4.299999999999997</v>
      </c>
      <c r="G19" s="208">
        <f t="shared" si="3"/>
        <v>32.5</v>
      </c>
      <c r="H19" s="222">
        <v>0</v>
      </c>
      <c r="I19" s="222">
        <v>21</v>
      </c>
      <c r="J19" s="222">
        <v>11.5</v>
      </c>
      <c r="K19" s="211">
        <f t="shared" si="0"/>
        <v>54.9</v>
      </c>
      <c r="L19" s="209">
        <f t="shared" si="1"/>
        <v>0.1</v>
      </c>
      <c r="M19" s="210">
        <f t="shared" si="1"/>
        <v>39</v>
      </c>
      <c r="N19" s="210">
        <f t="shared" si="1"/>
        <v>15.799999999999997</v>
      </c>
    </row>
    <row r="20" spans="1:14" s="2" customFormat="1" ht="10.5" customHeight="1">
      <c r="A20" s="71">
        <v>15</v>
      </c>
      <c r="B20" s="6" t="s">
        <v>16</v>
      </c>
      <c r="C20" s="217">
        <v>15.6</v>
      </c>
      <c r="D20" s="217">
        <v>0</v>
      </c>
      <c r="E20" s="217">
        <f>9.1-D20</f>
        <v>9.1</v>
      </c>
      <c r="F20" s="217">
        <f t="shared" si="2"/>
        <v>6.5</v>
      </c>
      <c r="G20" s="208">
        <f t="shared" si="3"/>
        <v>2.5</v>
      </c>
      <c r="H20" s="222">
        <v>0</v>
      </c>
      <c r="I20" s="222">
        <v>0</v>
      </c>
      <c r="J20" s="222">
        <v>2.5</v>
      </c>
      <c r="K20" s="211">
        <f t="shared" si="0"/>
        <v>18.1</v>
      </c>
      <c r="L20" s="209">
        <f t="shared" si="1"/>
        <v>0</v>
      </c>
      <c r="M20" s="210">
        <f t="shared" si="1"/>
        <v>9.1</v>
      </c>
      <c r="N20" s="210">
        <f t="shared" si="1"/>
        <v>9</v>
      </c>
    </row>
    <row r="21" spans="1:14" s="2" customFormat="1" ht="10.5" customHeight="1">
      <c r="A21" s="71">
        <v>16</v>
      </c>
      <c r="B21" s="6" t="s">
        <v>17</v>
      </c>
      <c r="C21" s="217">
        <v>54.8</v>
      </c>
      <c r="D21" s="217">
        <v>12.5</v>
      </c>
      <c r="E21" s="217">
        <f>42.6-D21</f>
        <v>30.1</v>
      </c>
      <c r="F21" s="217">
        <f t="shared" si="2"/>
        <v>12.199999999999996</v>
      </c>
      <c r="G21" s="208">
        <f t="shared" si="3"/>
        <v>19.5</v>
      </c>
      <c r="H21" s="222">
        <v>0</v>
      </c>
      <c r="I21" s="222">
        <v>5.5</v>
      </c>
      <c r="J21" s="222">
        <v>14</v>
      </c>
      <c r="K21" s="211">
        <f t="shared" si="0"/>
        <v>74.3</v>
      </c>
      <c r="L21" s="209">
        <f t="shared" si="1"/>
        <v>12.5</v>
      </c>
      <c r="M21" s="210">
        <f t="shared" si="1"/>
        <v>35.6</v>
      </c>
      <c r="N21" s="210">
        <f t="shared" si="1"/>
        <v>26.199999999999996</v>
      </c>
    </row>
    <row r="22" spans="1:14" s="327" customFormat="1" ht="10.5" customHeight="1">
      <c r="A22" s="323"/>
      <c r="B22" s="323" t="s">
        <v>27</v>
      </c>
      <c r="C22" s="224">
        <f>D22+E22+F22</f>
        <v>477.6</v>
      </c>
      <c r="D22" s="324">
        <f>SUM(D6:D21)</f>
        <v>53.599999999999994</v>
      </c>
      <c r="E22" s="324">
        <f>SUM(E6:E21)</f>
        <v>272.45000000000005</v>
      </c>
      <c r="F22" s="324">
        <f>SUM(F6:F21)</f>
        <v>151.54999999999995</v>
      </c>
      <c r="G22" s="231">
        <f>SUM(G6:G21)</f>
        <v>357.70000000000005</v>
      </c>
      <c r="H22" s="324">
        <f aca="true" t="shared" si="4" ref="H22:N22">SUM(H6:H21)</f>
        <v>2.6</v>
      </c>
      <c r="I22" s="324">
        <f>SUM(I6:I21)</f>
        <v>87.15</v>
      </c>
      <c r="J22" s="326">
        <f>SUM(J6:J21)</f>
        <v>267.95</v>
      </c>
      <c r="K22" s="231">
        <f>SUM(K6:K21)</f>
        <v>835.3</v>
      </c>
      <c r="L22" s="325">
        <f t="shared" si="4"/>
        <v>56.199999999999996</v>
      </c>
      <c r="M22" s="325">
        <f t="shared" si="4"/>
        <v>359.6000000000001</v>
      </c>
      <c r="N22" s="325">
        <f t="shared" si="4"/>
        <v>419.5</v>
      </c>
    </row>
    <row r="23" spans="1:14" s="3" customFormat="1" ht="11.25" customHeight="1">
      <c r="A23" s="466" t="s">
        <v>180</v>
      </c>
      <c r="B23" s="466"/>
      <c r="C23" s="466"/>
      <c r="D23" s="466"/>
      <c r="E23" s="466"/>
      <c r="F23" s="466"/>
      <c r="G23" s="466"/>
      <c r="H23" s="466"/>
      <c r="I23" s="466"/>
      <c r="J23" s="466"/>
      <c r="K23" s="466"/>
      <c r="L23" s="466"/>
      <c r="M23" s="466"/>
      <c r="N23" s="466"/>
    </row>
    <row r="24" spans="1:14" s="3" customFormat="1" ht="11.25" customHeight="1">
      <c r="A24" s="581" t="s">
        <v>79</v>
      </c>
      <c r="B24" s="578" t="s">
        <v>2</v>
      </c>
      <c r="C24" s="575" t="s">
        <v>76</v>
      </c>
      <c r="D24" s="462" t="s">
        <v>22</v>
      </c>
      <c r="E24" s="462"/>
      <c r="F24" s="462"/>
      <c r="G24" s="575" t="s">
        <v>76</v>
      </c>
      <c r="H24" s="462" t="s">
        <v>22</v>
      </c>
      <c r="I24" s="462"/>
      <c r="J24" s="462"/>
      <c r="K24" s="575" t="s">
        <v>76</v>
      </c>
      <c r="L24" s="462" t="s">
        <v>22</v>
      </c>
      <c r="M24" s="462"/>
      <c r="N24" s="462"/>
    </row>
    <row r="25" spans="1:14" s="3" customFormat="1" ht="15" customHeight="1">
      <c r="A25" s="582"/>
      <c r="B25" s="579"/>
      <c r="C25" s="597"/>
      <c r="D25" s="143" t="s">
        <v>23</v>
      </c>
      <c r="E25" s="143" t="s">
        <v>24</v>
      </c>
      <c r="F25" s="143" t="s">
        <v>25</v>
      </c>
      <c r="G25" s="597"/>
      <c r="H25" s="143" t="s">
        <v>23</v>
      </c>
      <c r="I25" s="143" t="s">
        <v>24</v>
      </c>
      <c r="J25" s="143" t="s">
        <v>25</v>
      </c>
      <c r="K25" s="597"/>
      <c r="L25" s="143" t="s">
        <v>23</v>
      </c>
      <c r="M25" s="143" t="s">
        <v>24</v>
      </c>
      <c r="N25" s="143" t="s">
        <v>25</v>
      </c>
    </row>
    <row r="26" spans="1:14" ht="9.75" customHeight="1">
      <c r="A26" s="583"/>
      <c r="B26" s="580"/>
      <c r="C26" s="576"/>
      <c r="D26" s="223">
        <v>1</v>
      </c>
      <c r="E26" s="223">
        <v>0.6462</v>
      </c>
      <c r="F26" s="223">
        <v>0.2866</v>
      </c>
      <c r="G26" s="576"/>
      <c r="H26" s="223">
        <v>1</v>
      </c>
      <c r="I26" s="223">
        <f>E26</f>
        <v>0.6462</v>
      </c>
      <c r="J26" s="223">
        <f>F26</f>
        <v>0.2866</v>
      </c>
      <c r="K26" s="576"/>
      <c r="L26" s="223">
        <v>1</v>
      </c>
      <c r="M26" s="223">
        <f>I26</f>
        <v>0.6462</v>
      </c>
      <c r="N26" s="223">
        <f>J26</f>
        <v>0.2866</v>
      </c>
    </row>
    <row r="27" spans="1:14" ht="9.75" customHeight="1">
      <c r="A27" s="70">
        <v>1</v>
      </c>
      <c r="B27" s="7" t="s">
        <v>11</v>
      </c>
      <c r="C27" s="179">
        <f>D27+E27+F27</f>
        <v>54.71792000000001</v>
      </c>
      <c r="D27" s="179">
        <f>D6*$D$26</f>
        <v>18.1</v>
      </c>
      <c r="E27" s="179">
        <f>E6*$E$26</f>
        <v>33.15006</v>
      </c>
      <c r="F27" s="179">
        <f>F6*$F$26</f>
        <v>3.4678599999999986</v>
      </c>
      <c r="G27" s="179">
        <f>H27+I27+J27</f>
        <v>9.537580000000002</v>
      </c>
      <c r="H27" s="179">
        <f>H6*$H$26</f>
        <v>2</v>
      </c>
      <c r="I27" s="179">
        <f>I6*$I$26</f>
        <v>0</v>
      </c>
      <c r="J27" s="179">
        <f>J6*$J$26</f>
        <v>7.537580000000001</v>
      </c>
      <c r="K27" s="179">
        <f>L27+M27+N27</f>
        <v>64.25550000000001</v>
      </c>
      <c r="L27" s="179">
        <f aca="true" t="shared" si="5" ref="L27:L42">D27+H27</f>
        <v>20.1</v>
      </c>
      <c r="M27" s="179">
        <f aca="true" t="shared" si="6" ref="M27:M42">E27+I27</f>
        <v>33.15006</v>
      </c>
      <c r="N27" s="179">
        <f aca="true" t="shared" si="7" ref="N27:N42">F27+J27</f>
        <v>11.00544</v>
      </c>
    </row>
    <row r="28" spans="1:14" ht="9.75" customHeight="1">
      <c r="A28" s="71">
        <v>2</v>
      </c>
      <c r="B28" s="6" t="s">
        <v>3</v>
      </c>
      <c r="C28" s="179">
        <f aca="true" t="shared" si="8" ref="C28:C42">D28+E28+F28</f>
        <v>20.02514</v>
      </c>
      <c r="D28" s="179">
        <f aca="true" t="shared" si="9" ref="D28:D42">D7*$D$26</f>
        <v>1.8</v>
      </c>
      <c r="E28" s="179">
        <f aca="true" t="shared" si="10" ref="E28:E42">E7*$E$26</f>
        <v>17.60895</v>
      </c>
      <c r="F28" s="179">
        <f aca="true" t="shared" si="11" ref="F28:F42">F7*$F$26</f>
        <v>0.6161899999999997</v>
      </c>
      <c r="G28" s="179">
        <f aca="true" t="shared" si="12" ref="G28:G42">H28+I28+J28</f>
        <v>1.1053</v>
      </c>
      <c r="H28" s="179">
        <f aca="true" t="shared" si="13" ref="H28:H42">H7*$H$26</f>
        <v>0</v>
      </c>
      <c r="I28" s="179">
        <f aca="true" t="shared" si="14" ref="I28:I42">I7*$I$26</f>
        <v>0.9046799999999999</v>
      </c>
      <c r="J28" s="179">
        <f aca="true" t="shared" si="15" ref="J28:J42">J7*$J$26</f>
        <v>0.20062</v>
      </c>
      <c r="K28" s="179">
        <f aca="true" t="shared" si="16" ref="K28:K42">L28+M28+N28</f>
        <v>21.13044</v>
      </c>
      <c r="L28" s="179">
        <f t="shared" si="5"/>
        <v>1.8</v>
      </c>
      <c r="M28" s="179">
        <f t="shared" si="6"/>
        <v>18.51363</v>
      </c>
      <c r="N28" s="179">
        <f t="shared" si="7"/>
        <v>0.8168099999999997</v>
      </c>
    </row>
    <row r="29" spans="1:14" ht="9.75" customHeight="1">
      <c r="A29" s="71">
        <v>3</v>
      </c>
      <c r="B29" s="6" t="s">
        <v>4</v>
      </c>
      <c r="C29" s="179">
        <f t="shared" si="8"/>
        <v>16.924099999999996</v>
      </c>
      <c r="D29" s="179">
        <f t="shared" si="9"/>
        <v>1</v>
      </c>
      <c r="E29" s="179">
        <f t="shared" si="10"/>
        <v>15.37956</v>
      </c>
      <c r="F29" s="179">
        <f t="shared" si="11"/>
        <v>0.5445399999999996</v>
      </c>
      <c r="G29" s="179">
        <f t="shared" si="12"/>
        <v>12.994299999999999</v>
      </c>
      <c r="H29" s="179">
        <f t="shared" si="13"/>
        <v>0</v>
      </c>
      <c r="I29" s="179">
        <f t="shared" si="14"/>
        <v>12.2778</v>
      </c>
      <c r="J29" s="179">
        <f t="shared" si="15"/>
        <v>0.7165</v>
      </c>
      <c r="K29" s="179">
        <f t="shared" si="16"/>
        <v>29.9184</v>
      </c>
      <c r="L29" s="179">
        <f t="shared" si="5"/>
        <v>1</v>
      </c>
      <c r="M29" s="179">
        <f t="shared" si="6"/>
        <v>27.657359999999997</v>
      </c>
      <c r="N29" s="179">
        <f t="shared" si="7"/>
        <v>1.2610399999999995</v>
      </c>
    </row>
    <row r="30" spans="1:14" ht="9.75" customHeight="1">
      <c r="A30" s="71">
        <v>4</v>
      </c>
      <c r="B30" s="6" t="s">
        <v>5</v>
      </c>
      <c r="C30" s="179">
        <f t="shared" si="8"/>
        <v>9.53746</v>
      </c>
      <c r="D30" s="179">
        <f t="shared" si="9"/>
        <v>1.6</v>
      </c>
      <c r="E30" s="179">
        <f t="shared" si="10"/>
        <v>2.7786600000000004</v>
      </c>
      <c r="F30" s="179">
        <f t="shared" si="11"/>
        <v>5.158799999999999</v>
      </c>
      <c r="G30" s="179">
        <f t="shared" si="12"/>
        <v>3.0171400000000004</v>
      </c>
      <c r="H30" s="179">
        <f t="shared" si="13"/>
        <v>0</v>
      </c>
      <c r="I30" s="179">
        <f t="shared" si="14"/>
        <v>0.3231</v>
      </c>
      <c r="J30" s="179">
        <f t="shared" si="15"/>
        <v>2.69404</v>
      </c>
      <c r="K30" s="179">
        <f t="shared" si="16"/>
        <v>12.5546</v>
      </c>
      <c r="L30" s="179">
        <f t="shared" si="5"/>
        <v>1.6</v>
      </c>
      <c r="M30" s="179">
        <f t="shared" si="6"/>
        <v>3.1017600000000005</v>
      </c>
      <c r="N30" s="179">
        <f t="shared" si="7"/>
        <v>7.85284</v>
      </c>
    </row>
    <row r="31" spans="1:14" ht="9.75" customHeight="1">
      <c r="A31" s="71">
        <v>5</v>
      </c>
      <c r="B31" s="6" t="s">
        <v>6</v>
      </c>
      <c r="C31" s="179">
        <f t="shared" si="8"/>
        <v>16.4142</v>
      </c>
      <c r="D31" s="179">
        <f t="shared" si="9"/>
        <v>3.7</v>
      </c>
      <c r="E31" s="179">
        <f t="shared" si="10"/>
        <v>8.52984</v>
      </c>
      <c r="F31" s="179">
        <f t="shared" si="11"/>
        <v>4.184360000000001</v>
      </c>
      <c r="G31" s="179">
        <f t="shared" si="12"/>
        <v>23.50822</v>
      </c>
      <c r="H31" s="179">
        <f t="shared" si="13"/>
        <v>0</v>
      </c>
      <c r="I31" s="179">
        <f t="shared" si="14"/>
        <v>3.36024</v>
      </c>
      <c r="J31" s="179">
        <f t="shared" si="15"/>
        <v>20.14798</v>
      </c>
      <c r="K31" s="179">
        <f t="shared" si="16"/>
        <v>39.92242</v>
      </c>
      <c r="L31" s="179">
        <f t="shared" si="5"/>
        <v>3.7</v>
      </c>
      <c r="M31" s="179">
        <f t="shared" si="6"/>
        <v>11.890080000000001</v>
      </c>
      <c r="N31" s="179">
        <f t="shared" si="7"/>
        <v>24.332340000000002</v>
      </c>
    </row>
    <row r="32" spans="1:14" ht="9.75" customHeight="1">
      <c r="A32" s="71">
        <v>6</v>
      </c>
      <c r="B32" s="6" t="s">
        <v>7</v>
      </c>
      <c r="C32" s="179">
        <f t="shared" si="8"/>
        <v>16.37868</v>
      </c>
      <c r="D32" s="179">
        <f t="shared" si="9"/>
        <v>3.3</v>
      </c>
      <c r="E32" s="179">
        <f t="shared" si="10"/>
        <v>4.65264</v>
      </c>
      <c r="F32" s="179">
        <f t="shared" si="11"/>
        <v>8.42604</v>
      </c>
      <c r="G32" s="179">
        <f t="shared" si="12"/>
        <v>0</v>
      </c>
      <c r="H32" s="179">
        <f t="shared" si="13"/>
        <v>0</v>
      </c>
      <c r="I32" s="179">
        <f t="shared" si="14"/>
        <v>0</v>
      </c>
      <c r="J32" s="179">
        <f t="shared" si="15"/>
        <v>0</v>
      </c>
      <c r="K32" s="179">
        <f t="shared" si="16"/>
        <v>16.37868</v>
      </c>
      <c r="L32" s="179">
        <f t="shared" si="5"/>
        <v>3.3</v>
      </c>
      <c r="M32" s="179">
        <f t="shared" si="6"/>
        <v>4.65264</v>
      </c>
      <c r="N32" s="179">
        <f t="shared" si="7"/>
        <v>8.42604</v>
      </c>
    </row>
    <row r="33" spans="1:14" ht="9.75" customHeight="1">
      <c r="A33" s="71">
        <v>7</v>
      </c>
      <c r="B33" s="6" t="s">
        <v>8</v>
      </c>
      <c r="C33" s="179">
        <f t="shared" si="8"/>
        <v>11.685960000000001</v>
      </c>
      <c r="D33" s="179">
        <f t="shared" si="9"/>
        <v>0</v>
      </c>
      <c r="E33" s="179">
        <f t="shared" si="10"/>
        <v>6.7851</v>
      </c>
      <c r="F33" s="179">
        <f t="shared" si="11"/>
        <v>4.900860000000001</v>
      </c>
      <c r="G33" s="179">
        <f t="shared" si="12"/>
        <v>6.4512</v>
      </c>
      <c r="H33" s="179">
        <f t="shared" si="13"/>
        <v>0</v>
      </c>
      <c r="I33" s="179">
        <f t="shared" si="14"/>
        <v>1.2924</v>
      </c>
      <c r="J33" s="179">
        <f t="shared" si="15"/>
        <v>5.1588</v>
      </c>
      <c r="K33" s="179">
        <f t="shared" si="16"/>
        <v>18.13716</v>
      </c>
      <c r="L33" s="179">
        <f t="shared" si="5"/>
        <v>0</v>
      </c>
      <c r="M33" s="179">
        <f t="shared" si="6"/>
        <v>8.0775</v>
      </c>
      <c r="N33" s="179">
        <f t="shared" si="7"/>
        <v>10.059660000000001</v>
      </c>
    </row>
    <row r="34" spans="1:14" ht="9.75" customHeight="1">
      <c r="A34" s="71">
        <v>8</v>
      </c>
      <c r="B34" s="6" t="s">
        <v>9</v>
      </c>
      <c r="C34" s="179">
        <f t="shared" si="8"/>
        <v>12.642740000000002</v>
      </c>
      <c r="D34" s="179">
        <f t="shared" si="9"/>
        <v>5</v>
      </c>
      <c r="E34" s="179">
        <f t="shared" si="10"/>
        <v>5.751180000000001</v>
      </c>
      <c r="F34" s="179">
        <f t="shared" si="11"/>
        <v>1.8915600000000001</v>
      </c>
      <c r="G34" s="179">
        <f t="shared" si="12"/>
        <v>3.7544600000000004</v>
      </c>
      <c r="H34" s="179">
        <f t="shared" si="13"/>
        <v>0</v>
      </c>
      <c r="I34" s="179">
        <f t="shared" si="14"/>
        <v>0</v>
      </c>
      <c r="J34" s="179">
        <f t="shared" si="15"/>
        <v>3.7544600000000004</v>
      </c>
      <c r="K34" s="179">
        <f t="shared" si="16"/>
        <v>16.3972</v>
      </c>
      <c r="L34" s="179">
        <f t="shared" si="5"/>
        <v>5</v>
      </c>
      <c r="M34" s="179">
        <f t="shared" si="6"/>
        <v>5.751180000000001</v>
      </c>
      <c r="N34" s="179">
        <f t="shared" si="7"/>
        <v>5.64602</v>
      </c>
    </row>
    <row r="35" spans="1:14" ht="9.75" customHeight="1">
      <c r="A35" s="71">
        <v>9</v>
      </c>
      <c r="B35" s="6" t="s">
        <v>10</v>
      </c>
      <c r="C35" s="179">
        <f t="shared" si="8"/>
        <v>14.074579999999997</v>
      </c>
      <c r="D35" s="179">
        <f t="shared" si="9"/>
        <v>3.8</v>
      </c>
      <c r="E35" s="179">
        <f t="shared" si="10"/>
        <v>10.274579999999998</v>
      </c>
      <c r="F35" s="179">
        <f t="shared" si="11"/>
        <v>0</v>
      </c>
      <c r="G35" s="179">
        <f t="shared" si="12"/>
        <v>18.45852</v>
      </c>
      <c r="H35" s="179">
        <f t="shared" si="13"/>
        <v>0.6</v>
      </c>
      <c r="I35" s="179">
        <f t="shared" si="14"/>
        <v>13.60251</v>
      </c>
      <c r="J35" s="179">
        <f t="shared" si="15"/>
        <v>4.25601</v>
      </c>
      <c r="K35" s="179">
        <f t="shared" si="16"/>
        <v>32.5331</v>
      </c>
      <c r="L35" s="179">
        <f t="shared" si="5"/>
        <v>4.3999999999999995</v>
      </c>
      <c r="M35" s="179">
        <f t="shared" si="6"/>
        <v>23.87709</v>
      </c>
      <c r="N35" s="179">
        <f t="shared" si="7"/>
        <v>4.25601</v>
      </c>
    </row>
    <row r="36" spans="1:14" ht="9.75" customHeight="1">
      <c r="A36" s="71">
        <v>10</v>
      </c>
      <c r="B36" s="6" t="s">
        <v>12</v>
      </c>
      <c r="C36" s="179">
        <f t="shared" si="8"/>
        <v>6.17096</v>
      </c>
      <c r="D36" s="179">
        <f t="shared" si="9"/>
        <v>0.3</v>
      </c>
      <c r="E36" s="179">
        <f t="shared" si="10"/>
        <v>4.78188</v>
      </c>
      <c r="F36" s="179">
        <f t="shared" si="11"/>
        <v>1.0890799999999998</v>
      </c>
      <c r="G36" s="179">
        <f t="shared" si="12"/>
        <v>0.40124</v>
      </c>
      <c r="H36" s="179">
        <f t="shared" si="13"/>
        <v>0</v>
      </c>
      <c r="I36" s="179">
        <f t="shared" si="14"/>
        <v>0</v>
      </c>
      <c r="J36" s="179">
        <f t="shared" si="15"/>
        <v>0.40124</v>
      </c>
      <c r="K36" s="179">
        <f t="shared" si="16"/>
        <v>6.5722</v>
      </c>
      <c r="L36" s="179">
        <f t="shared" si="5"/>
        <v>0.3</v>
      </c>
      <c r="M36" s="179">
        <f t="shared" si="6"/>
        <v>4.78188</v>
      </c>
      <c r="N36" s="179">
        <f t="shared" si="7"/>
        <v>1.4903199999999999</v>
      </c>
    </row>
    <row r="37" spans="1:14" ht="9.75" customHeight="1">
      <c r="A37" s="71">
        <v>11</v>
      </c>
      <c r="B37" s="6" t="s">
        <v>13</v>
      </c>
      <c r="C37" s="179">
        <f t="shared" si="8"/>
        <v>13.677919999999999</v>
      </c>
      <c r="D37" s="179">
        <f t="shared" si="9"/>
        <v>1.1</v>
      </c>
      <c r="E37" s="179">
        <f t="shared" si="10"/>
        <v>11.89008</v>
      </c>
      <c r="F37" s="179">
        <f t="shared" si="11"/>
        <v>0.6878399999999997</v>
      </c>
      <c r="G37" s="179">
        <f t="shared" si="12"/>
        <v>4.8722</v>
      </c>
      <c r="H37" s="179">
        <f t="shared" si="13"/>
        <v>0</v>
      </c>
      <c r="I37" s="179">
        <f t="shared" si="14"/>
        <v>0</v>
      </c>
      <c r="J37" s="179">
        <f t="shared" si="15"/>
        <v>4.8722</v>
      </c>
      <c r="K37" s="179">
        <f t="shared" si="16"/>
        <v>18.55012</v>
      </c>
      <c r="L37" s="179">
        <f t="shared" si="5"/>
        <v>1.1</v>
      </c>
      <c r="M37" s="179">
        <f t="shared" si="6"/>
        <v>11.89008</v>
      </c>
      <c r="N37" s="179">
        <f t="shared" si="7"/>
        <v>5.56004</v>
      </c>
    </row>
    <row r="38" spans="1:14" ht="9.75" customHeight="1">
      <c r="A38" s="71">
        <v>12</v>
      </c>
      <c r="B38" s="6" t="s">
        <v>26</v>
      </c>
      <c r="C38" s="179">
        <f t="shared" si="8"/>
        <v>16.932920000000003</v>
      </c>
      <c r="D38" s="179">
        <f t="shared" si="9"/>
        <v>1.3</v>
      </c>
      <c r="E38" s="179">
        <f t="shared" si="10"/>
        <v>9.75762</v>
      </c>
      <c r="F38" s="179">
        <f t="shared" si="11"/>
        <v>5.875300000000001</v>
      </c>
      <c r="G38" s="179">
        <f t="shared" si="12"/>
        <v>22.80334</v>
      </c>
      <c r="H38" s="179">
        <f t="shared" si="13"/>
        <v>0</v>
      </c>
      <c r="I38" s="179">
        <f t="shared" si="14"/>
        <v>5.4927</v>
      </c>
      <c r="J38" s="179">
        <f>J17*$J$26</f>
        <v>17.31064</v>
      </c>
      <c r="K38" s="179">
        <f t="shared" si="16"/>
        <v>39.73626</v>
      </c>
      <c r="L38" s="179">
        <f t="shared" si="5"/>
        <v>1.3</v>
      </c>
      <c r="M38" s="179">
        <f t="shared" si="6"/>
        <v>15.250319999999999</v>
      </c>
      <c r="N38" s="179">
        <f t="shared" si="7"/>
        <v>23.185940000000002</v>
      </c>
    </row>
    <row r="39" spans="1:14" ht="9.75" customHeight="1">
      <c r="A39" s="71">
        <v>13</v>
      </c>
      <c r="B39" s="6" t="s">
        <v>14</v>
      </c>
      <c r="C39" s="179">
        <f t="shared" si="8"/>
        <v>7.7544</v>
      </c>
      <c r="D39" s="179">
        <f t="shared" si="9"/>
        <v>0</v>
      </c>
      <c r="E39" s="179">
        <f t="shared" si="10"/>
        <v>7.7544</v>
      </c>
      <c r="F39" s="179">
        <f t="shared" si="11"/>
        <v>0</v>
      </c>
      <c r="G39" s="179">
        <f t="shared" si="12"/>
        <v>3.6582000000000003</v>
      </c>
      <c r="H39" s="179">
        <f t="shared" si="13"/>
        <v>0</v>
      </c>
      <c r="I39" s="179">
        <f t="shared" si="14"/>
        <v>1.9386</v>
      </c>
      <c r="J39" s="179">
        <f t="shared" si="15"/>
        <v>1.7196000000000002</v>
      </c>
      <c r="K39" s="179">
        <f t="shared" si="16"/>
        <v>11.412600000000001</v>
      </c>
      <c r="L39" s="179">
        <f t="shared" si="5"/>
        <v>0</v>
      </c>
      <c r="M39" s="179">
        <f t="shared" si="6"/>
        <v>9.693000000000001</v>
      </c>
      <c r="N39" s="179">
        <f t="shared" si="7"/>
        <v>1.7196000000000002</v>
      </c>
    </row>
    <row r="40" spans="1:14" ht="9.75" customHeight="1">
      <c r="A40" s="71">
        <v>14</v>
      </c>
      <c r="B40" s="6" t="s">
        <v>15</v>
      </c>
      <c r="C40" s="179">
        <f t="shared" si="8"/>
        <v>12.96398</v>
      </c>
      <c r="D40" s="179">
        <f t="shared" si="9"/>
        <v>0.1</v>
      </c>
      <c r="E40" s="179">
        <f t="shared" si="10"/>
        <v>11.6316</v>
      </c>
      <c r="F40" s="179">
        <f t="shared" si="11"/>
        <v>1.2323799999999994</v>
      </c>
      <c r="G40" s="179">
        <f t="shared" si="12"/>
        <v>16.8661</v>
      </c>
      <c r="H40" s="179">
        <f t="shared" si="13"/>
        <v>0</v>
      </c>
      <c r="I40" s="179">
        <f t="shared" si="14"/>
        <v>13.5702</v>
      </c>
      <c r="J40" s="179">
        <f t="shared" si="15"/>
        <v>3.2959</v>
      </c>
      <c r="K40" s="179">
        <f t="shared" si="16"/>
        <v>29.83008</v>
      </c>
      <c r="L40" s="179">
        <f t="shared" si="5"/>
        <v>0.1</v>
      </c>
      <c r="M40" s="179">
        <f t="shared" si="6"/>
        <v>25.2018</v>
      </c>
      <c r="N40" s="179">
        <f t="shared" si="7"/>
        <v>4.52828</v>
      </c>
    </row>
    <row r="41" spans="1:14" ht="9.75" customHeight="1">
      <c r="A41" s="71">
        <v>15</v>
      </c>
      <c r="B41" s="6" t="s">
        <v>16</v>
      </c>
      <c r="C41" s="179">
        <f t="shared" si="8"/>
        <v>7.743320000000001</v>
      </c>
      <c r="D41" s="179">
        <f t="shared" si="9"/>
        <v>0</v>
      </c>
      <c r="E41" s="179">
        <f t="shared" si="10"/>
        <v>5.88042</v>
      </c>
      <c r="F41" s="179">
        <f t="shared" si="11"/>
        <v>1.8629000000000002</v>
      </c>
      <c r="G41" s="179">
        <f t="shared" si="12"/>
        <v>0.7165</v>
      </c>
      <c r="H41" s="179">
        <f t="shared" si="13"/>
        <v>0</v>
      </c>
      <c r="I41" s="179">
        <f t="shared" si="14"/>
        <v>0</v>
      </c>
      <c r="J41" s="179">
        <f t="shared" si="15"/>
        <v>0.7165</v>
      </c>
      <c r="K41" s="179">
        <f t="shared" si="16"/>
        <v>8.45982</v>
      </c>
      <c r="L41" s="179">
        <f t="shared" si="5"/>
        <v>0</v>
      </c>
      <c r="M41" s="179">
        <f t="shared" si="6"/>
        <v>5.88042</v>
      </c>
      <c r="N41" s="179">
        <f t="shared" si="7"/>
        <v>2.5794</v>
      </c>
    </row>
    <row r="42" spans="1:14" ht="9.75" customHeight="1">
      <c r="A42" s="71">
        <v>16</v>
      </c>
      <c r="B42" s="6" t="s">
        <v>17</v>
      </c>
      <c r="C42" s="179">
        <f t="shared" si="8"/>
        <v>35.44714</v>
      </c>
      <c r="D42" s="179">
        <f t="shared" si="9"/>
        <v>12.5</v>
      </c>
      <c r="E42" s="179">
        <f t="shared" si="10"/>
        <v>19.45062</v>
      </c>
      <c r="F42" s="179">
        <f t="shared" si="11"/>
        <v>3.496519999999999</v>
      </c>
      <c r="G42" s="179">
        <f t="shared" si="12"/>
        <v>7.5665000000000004</v>
      </c>
      <c r="H42" s="179">
        <f t="shared" si="13"/>
        <v>0</v>
      </c>
      <c r="I42" s="179">
        <f t="shared" si="14"/>
        <v>3.5541</v>
      </c>
      <c r="J42" s="179">
        <f t="shared" si="15"/>
        <v>4.0124</v>
      </c>
      <c r="K42" s="179">
        <f t="shared" si="16"/>
        <v>43.013639999999995</v>
      </c>
      <c r="L42" s="179">
        <f t="shared" si="5"/>
        <v>12.5</v>
      </c>
      <c r="M42" s="179">
        <f t="shared" si="6"/>
        <v>23.00472</v>
      </c>
      <c r="N42" s="179">
        <f t="shared" si="7"/>
        <v>7.50892</v>
      </c>
    </row>
    <row r="43" spans="1:14" ht="9.75" customHeight="1">
      <c r="A43" s="5"/>
      <c r="B43" s="5" t="s">
        <v>27</v>
      </c>
      <c r="C43" s="226">
        <f aca="true" t="shared" si="17" ref="C43:N43">SUM(C27:C42)</f>
        <v>273.09142</v>
      </c>
      <c r="D43" s="179">
        <f t="shared" si="17"/>
        <v>53.599999999999994</v>
      </c>
      <c r="E43" s="179">
        <f t="shared" si="17"/>
        <v>176.05719</v>
      </c>
      <c r="F43" s="179">
        <f t="shared" si="17"/>
        <v>43.43423</v>
      </c>
      <c r="G43" s="226">
        <f t="shared" si="17"/>
        <v>135.7108</v>
      </c>
      <c r="H43" s="330">
        <f t="shared" si="17"/>
        <v>2.6</v>
      </c>
      <c r="I43" s="330">
        <f t="shared" si="17"/>
        <v>56.31633</v>
      </c>
      <c r="J43" s="330">
        <f t="shared" si="17"/>
        <v>76.79447</v>
      </c>
      <c r="K43" s="226">
        <f t="shared" si="17"/>
        <v>408.80222</v>
      </c>
      <c r="L43" s="330">
        <f t="shared" si="17"/>
        <v>56.199999999999996</v>
      </c>
      <c r="M43" s="330">
        <f t="shared" si="17"/>
        <v>232.37351999999998</v>
      </c>
      <c r="N43" s="330">
        <f t="shared" si="17"/>
        <v>120.22870000000002</v>
      </c>
    </row>
    <row r="44" spans="1:14" ht="12" customHeight="1">
      <c r="A44" s="227"/>
      <c r="B44" s="227"/>
      <c r="C44" s="229"/>
      <c r="D44" s="229"/>
      <c r="E44" s="229"/>
      <c r="F44" s="229"/>
      <c r="G44" s="329"/>
      <c r="H44" s="329"/>
      <c r="I44" s="329"/>
      <c r="J44" s="329"/>
      <c r="K44" s="329"/>
      <c r="L44" s="329"/>
      <c r="M44" s="228"/>
      <c r="N44" s="227"/>
    </row>
    <row r="45" spans="3:11" ht="11.25" customHeight="1">
      <c r="C45" s="345" t="s">
        <v>47</v>
      </c>
      <c r="E45" s="342"/>
      <c r="F45" s="342"/>
      <c r="G45" s="464"/>
      <c r="H45" s="464"/>
      <c r="I45" s="464"/>
      <c r="J45" s="464"/>
      <c r="K45" s="328"/>
    </row>
    <row r="46" spans="1:19" ht="15" customHeight="1">
      <c r="A46" s="4">
        <v>1</v>
      </c>
      <c r="B46" s="344" t="str">
        <f>B27</f>
        <v>МО "Октябрьское"</v>
      </c>
      <c r="C46" s="346">
        <f>C27/$B$65*10</f>
        <v>0.1038530174927623</v>
      </c>
      <c r="D46" s="586">
        <f>ROUND($B$66*C46/100,0)*1000</f>
        <v>3260000</v>
      </c>
      <c r="E46" s="586"/>
      <c r="F46" s="331"/>
      <c r="G46" s="182"/>
      <c r="H46" s="181"/>
      <c r="I46" s="584" t="s">
        <v>183</v>
      </c>
      <c r="J46" s="584"/>
      <c r="K46" s="584"/>
      <c r="L46" s="584"/>
      <c r="M46" s="584"/>
      <c r="N46" s="584"/>
      <c r="S46" s="180"/>
    </row>
    <row r="47" spans="1:19" ht="12.75" customHeight="1">
      <c r="A47" s="4">
        <v>2</v>
      </c>
      <c r="B47" s="344" t="str">
        <f aca="true" t="shared" si="18" ref="B47:B61">B28</f>
        <v>МО "Березницкое"</v>
      </c>
      <c r="C47" s="346">
        <f aca="true" t="shared" si="19" ref="C47:C60">C28/$B$65*10</f>
        <v>0.038007132118966024</v>
      </c>
      <c r="D47" s="585">
        <f>ROUND($B$66*C47/100,0)*1000</f>
        <v>1193000</v>
      </c>
      <c r="E47" s="585"/>
      <c r="F47" s="600">
        <f>SUM(D47:E61)</f>
        <v>13010000</v>
      </c>
      <c r="G47" s="347"/>
      <c r="H47" s="332"/>
      <c r="I47" s="584"/>
      <c r="J47" s="584"/>
      <c r="K47" s="584"/>
      <c r="L47" s="584"/>
      <c r="M47" s="584"/>
      <c r="N47" s="584"/>
      <c r="S47" s="180"/>
    </row>
    <row r="48" spans="1:19" ht="11.25">
      <c r="A48" s="4">
        <v>3</v>
      </c>
      <c r="B48" s="344" t="str">
        <f t="shared" si="18"/>
        <v>МО "Бестужевское"</v>
      </c>
      <c r="C48" s="346">
        <f t="shared" si="19"/>
        <v>0.03212144857387228</v>
      </c>
      <c r="D48" s="585">
        <f aca="true" t="shared" si="20" ref="D48:D60">ROUND($B$66*C48/100,0)*1000</f>
        <v>1008000</v>
      </c>
      <c r="E48" s="585"/>
      <c r="F48" s="600"/>
      <c r="G48" s="347"/>
      <c r="H48" s="332"/>
      <c r="I48" s="584"/>
      <c r="J48" s="584"/>
      <c r="K48" s="584"/>
      <c r="L48" s="584"/>
      <c r="M48" s="584"/>
      <c r="N48" s="584"/>
      <c r="S48" s="180"/>
    </row>
    <row r="49" spans="1:19" ht="11.25">
      <c r="A49" s="4">
        <v>4</v>
      </c>
      <c r="B49" s="344" t="str">
        <f t="shared" si="18"/>
        <v>МО "Дмитриевское"</v>
      </c>
      <c r="C49" s="346">
        <f t="shared" si="19"/>
        <v>0.018101821125812538</v>
      </c>
      <c r="D49" s="585">
        <f t="shared" si="20"/>
        <v>568000</v>
      </c>
      <c r="E49" s="585"/>
      <c r="F49" s="600"/>
      <c r="G49" s="347"/>
      <c r="H49" s="332"/>
      <c r="I49" s="584"/>
      <c r="J49" s="584"/>
      <c r="K49" s="584"/>
      <c r="L49" s="584"/>
      <c r="M49" s="584"/>
      <c r="N49" s="584"/>
      <c r="S49" s="180"/>
    </row>
    <row r="50" spans="1:19" ht="11.25">
      <c r="A50" s="4">
        <v>5</v>
      </c>
      <c r="B50" s="344" t="str">
        <f t="shared" si="18"/>
        <v>МО "Илезское"</v>
      </c>
      <c r="C50" s="346">
        <f t="shared" si="19"/>
        <v>0.031153673234101342</v>
      </c>
      <c r="D50" s="585">
        <f t="shared" si="20"/>
        <v>978000</v>
      </c>
      <c r="E50" s="585"/>
      <c r="F50" s="600"/>
      <c r="G50" s="347"/>
      <c r="H50" s="332"/>
      <c r="I50" s="584"/>
      <c r="J50" s="584"/>
      <c r="K50" s="584"/>
      <c r="L50" s="584"/>
      <c r="M50" s="584"/>
      <c r="N50" s="584"/>
      <c r="S50" s="180"/>
    </row>
    <row r="51" spans="1:19" ht="11.25">
      <c r="A51" s="4">
        <v>6</v>
      </c>
      <c r="B51" s="344" t="str">
        <f t="shared" si="18"/>
        <v>МО "Киземское"</v>
      </c>
      <c r="C51" s="346">
        <f t="shared" si="19"/>
        <v>0.031086257309275563</v>
      </c>
      <c r="D51" s="585">
        <f t="shared" si="20"/>
        <v>976000</v>
      </c>
      <c r="E51" s="585"/>
      <c r="F51" s="600"/>
      <c r="G51" s="347"/>
      <c r="H51" s="332"/>
      <c r="I51" s="584"/>
      <c r="J51" s="584"/>
      <c r="K51" s="584"/>
      <c r="L51" s="584"/>
      <c r="M51" s="584"/>
      <c r="N51" s="584"/>
      <c r="S51" s="180"/>
    </row>
    <row r="52" spans="1:19" ht="11.25">
      <c r="A52" s="4">
        <v>7</v>
      </c>
      <c r="B52" s="344" t="str">
        <f t="shared" si="18"/>
        <v>МО "Лихачевское"</v>
      </c>
      <c r="C52" s="346">
        <f t="shared" si="19"/>
        <v>0.022179611511178064</v>
      </c>
      <c r="D52" s="585">
        <f t="shared" si="20"/>
        <v>696000</v>
      </c>
      <c r="E52" s="585"/>
      <c r="F52" s="600"/>
      <c r="G52" s="347"/>
      <c r="H52" s="332"/>
      <c r="I52" s="584"/>
      <c r="J52" s="584"/>
      <c r="K52" s="584"/>
      <c r="L52" s="584"/>
      <c r="M52" s="584"/>
      <c r="N52" s="584"/>
      <c r="S52" s="180"/>
    </row>
    <row r="53" spans="1:19" ht="10.5" customHeight="1">
      <c r="A53" s="4">
        <v>8</v>
      </c>
      <c r="B53" s="344" t="str">
        <f t="shared" si="18"/>
        <v>МО "Лойгинское"</v>
      </c>
      <c r="C53" s="346">
        <f t="shared" si="19"/>
        <v>0.023995552067338187</v>
      </c>
      <c r="D53" s="585">
        <f t="shared" si="20"/>
        <v>753000</v>
      </c>
      <c r="E53" s="585"/>
      <c r="F53" s="600"/>
      <c r="G53" s="347"/>
      <c r="H53" s="332"/>
      <c r="I53" s="603" t="s">
        <v>181</v>
      </c>
      <c r="J53" s="603"/>
      <c r="K53" s="603"/>
      <c r="L53" s="603"/>
      <c r="M53" s="577" t="s">
        <v>182</v>
      </c>
      <c r="N53" s="577"/>
      <c r="S53" s="180"/>
    </row>
    <row r="54" spans="1:19" ht="11.25">
      <c r="A54" s="4">
        <v>9</v>
      </c>
      <c r="B54" s="344" t="str">
        <f t="shared" si="18"/>
        <v>МО "Малодорское"</v>
      </c>
      <c r="C54" s="346">
        <f t="shared" si="19"/>
        <v>0.02671314265862594</v>
      </c>
      <c r="D54" s="585">
        <f t="shared" si="20"/>
        <v>839000</v>
      </c>
      <c r="E54" s="585"/>
      <c r="F54" s="600"/>
      <c r="G54" s="347"/>
      <c r="H54" s="332"/>
      <c r="I54" s="592" t="s">
        <v>46</v>
      </c>
      <c r="J54" s="592"/>
      <c r="K54" s="592"/>
      <c r="L54" s="592"/>
      <c r="M54" s="591">
        <f>C64</f>
        <v>0.7758946996658509</v>
      </c>
      <c r="N54" s="592"/>
      <c r="S54" s="180"/>
    </row>
    <row r="55" spans="1:19" ht="11.25">
      <c r="A55" s="4">
        <v>10</v>
      </c>
      <c r="B55" s="344" t="str">
        <f t="shared" si="18"/>
        <v>МО "Орловское"</v>
      </c>
      <c r="C55" s="346">
        <f t="shared" si="19"/>
        <v>0.011712302237130656</v>
      </c>
      <c r="D55" s="585">
        <f t="shared" si="20"/>
        <v>368000</v>
      </c>
      <c r="E55" s="585"/>
      <c r="F55" s="600"/>
      <c r="G55" s="347"/>
      <c r="H55" s="332"/>
      <c r="I55" s="604" t="str">
        <f>B62</f>
        <v>МО "Уст.мун.район"</v>
      </c>
      <c r="J55" s="604"/>
      <c r="K55" s="604"/>
      <c r="L55" s="604"/>
      <c r="M55" s="591">
        <f>C62</f>
        <v>0.6720416821730886</v>
      </c>
      <c r="N55" s="592"/>
      <c r="S55" s="180"/>
    </row>
    <row r="56" spans="1:19" ht="11.25">
      <c r="A56" s="4">
        <v>11</v>
      </c>
      <c r="B56" s="344" t="str">
        <f t="shared" si="18"/>
        <v>МО "Плосское"</v>
      </c>
      <c r="C56" s="346">
        <f t="shared" si="19"/>
        <v>0.025960293538654297</v>
      </c>
      <c r="D56" s="585">
        <f t="shared" si="20"/>
        <v>815000</v>
      </c>
      <c r="E56" s="585"/>
      <c r="F56" s="600"/>
      <c r="G56" s="347"/>
      <c r="H56" s="332"/>
      <c r="I56" s="604" t="str">
        <f>B46</f>
        <v>МО "Октябрьское"</v>
      </c>
      <c r="J56" s="604"/>
      <c r="K56" s="604"/>
      <c r="L56" s="604"/>
      <c r="M56" s="591">
        <f>C46</f>
        <v>0.1038530174927623</v>
      </c>
      <c r="N56" s="592"/>
      <c r="S56" s="180"/>
    </row>
    <row r="57" spans="1:19" ht="11.25">
      <c r="A57" s="4">
        <v>12</v>
      </c>
      <c r="B57" s="344" t="str">
        <f t="shared" si="18"/>
        <v>МО "Ростовско - Минское"</v>
      </c>
      <c r="C57" s="346">
        <f t="shared" si="19"/>
        <v>0.03213818867682734</v>
      </c>
      <c r="D57" s="585">
        <f t="shared" si="20"/>
        <v>1009000</v>
      </c>
      <c r="E57" s="585"/>
      <c r="F57" s="600"/>
      <c r="G57" s="347"/>
      <c r="H57" s="332"/>
      <c r="I57" s="335" t="s">
        <v>184</v>
      </c>
      <c r="J57" s="335"/>
      <c r="K57" s="335"/>
      <c r="L57" s="336"/>
      <c r="M57" s="336"/>
      <c r="N57" s="336"/>
      <c r="Q57" s="181"/>
      <c r="S57" s="180"/>
    </row>
    <row r="58" spans="1:19" ht="11.25">
      <c r="A58" s="4">
        <v>13</v>
      </c>
      <c r="B58" s="344" t="str">
        <f t="shared" si="18"/>
        <v>МО "Синицкое"</v>
      </c>
      <c r="C58" s="346">
        <f t="shared" si="19"/>
        <v>0.01471762521027619</v>
      </c>
      <c r="D58" s="585">
        <f t="shared" si="20"/>
        <v>462000</v>
      </c>
      <c r="E58" s="585"/>
      <c r="F58" s="600"/>
      <c r="G58" s="347"/>
      <c r="H58" s="332"/>
      <c r="I58" s="335" t="s">
        <v>187</v>
      </c>
      <c r="J58" s="335"/>
      <c r="K58" s="335"/>
      <c r="L58" s="336"/>
      <c r="M58" s="336"/>
      <c r="N58" s="336"/>
      <c r="Q58" s="332"/>
      <c r="S58" s="180"/>
    </row>
    <row r="59" spans="1:19" ht="11.25" customHeight="1">
      <c r="A59" s="4">
        <v>14</v>
      </c>
      <c r="B59" s="344" t="str">
        <f t="shared" si="18"/>
        <v>МО "Строевское"</v>
      </c>
      <c r="C59" s="346">
        <f t="shared" si="19"/>
        <v>0.024605256225306446</v>
      </c>
      <c r="D59" s="585">
        <f t="shared" si="20"/>
        <v>772000</v>
      </c>
      <c r="E59" s="585"/>
      <c r="F59" s="600"/>
      <c r="G59" s="347"/>
      <c r="H59" s="332"/>
      <c r="I59" s="601" t="s">
        <v>185</v>
      </c>
      <c r="J59" s="601"/>
      <c r="K59" s="601"/>
      <c r="L59" s="601"/>
      <c r="M59" s="601"/>
      <c r="N59" s="601"/>
      <c r="S59" s="180"/>
    </row>
    <row r="60" spans="1:19" ht="11.25" customHeight="1">
      <c r="A60" s="4">
        <v>15</v>
      </c>
      <c r="B60" s="344" t="str">
        <f t="shared" si="18"/>
        <v>МО "Череновское"</v>
      </c>
      <c r="C60" s="346">
        <f t="shared" si="19"/>
        <v>0.014696595693185266</v>
      </c>
      <c r="D60" s="585">
        <f t="shared" si="20"/>
        <v>461000</v>
      </c>
      <c r="E60" s="585"/>
      <c r="F60" s="600"/>
      <c r="G60" s="347"/>
      <c r="H60" s="332"/>
      <c r="I60" s="601"/>
      <c r="J60" s="601"/>
      <c r="K60" s="601"/>
      <c r="L60" s="601"/>
      <c r="M60" s="601"/>
      <c r="N60" s="601"/>
      <c r="S60" s="180"/>
    </row>
    <row r="61" spans="1:19" ht="11.25">
      <c r="A61" s="4">
        <v>16</v>
      </c>
      <c r="B61" s="344" t="str">
        <f t="shared" si="18"/>
        <v>МО "Шангальское"</v>
      </c>
      <c r="C61" s="346">
        <f>C42/$B$65*10</f>
        <v>0.06727763866916713</v>
      </c>
      <c r="D61" s="585">
        <f>ROUND($B$66*C61/100,0)*1000</f>
        <v>2112000</v>
      </c>
      <c r="E61" s="585"/>
      <c r="F61" s="600"/>
      <c r="G61" s="347"/>
      <c r="H61" s="332"/>
      <c r="I61" s="337" t="s">
        <v>190</v>
      </c>
      <c r="J61" s="338"/>
      <c r="K61" s="338"/>
      <c r="L61" s="338"/>
      <c r="M61" s="338"/>
      <c r="N61" s="338"/>
      <c r="S61" s="180"/>
    </row>
    <row r="62" spans="1:14" ht="14.25" customHeight="1">
      <c r="A62" s="4"/>
      <c r="B62" s="344" t="s">
        <v>110</v>
      </c>
      <c r="C62" s="346">
        <f>SUM(C47:C61)+C63</f>
        <v>0.6720416821730886</v>
      </c>
      <c r="D62" s="586">
        <f>ROUND($B$66*C62/100,0)*1000</f>
        <v>21095000</v>
      </c>
      <c r="E62" s="586"/>
      <c r="F62" s="349"/>
      <c r="G62" s="348"/>
      <c r="H62" s="181"/>
      <c r="I62" s="602" t="s">
        <v>186</v>
      </c>
      <c r="J62" s="602"/>
      <c r="K62" s="602"/>
      <c r="L62" s="602"/>
      <c r="M62" s="602"/>
      <c r="N62" s="602"/>
    </row>
    <row r="63" spans="1:14" ht="16.5" customHeight="1">
      <c r="A63" s="4"/>
      <c r="B63" s="344" t="s">
        <v>193</v>
      </c>
      <c r="C63" s="346">
        <f>G43/$B$65*10</f>
        <v>0.2575751433233713</v>
      </c>
      <c r="D63" s="585">
        <f>ROUND($B$66*C63/100,0)*1000</f>
        <v>8085000</v>
      </c>
      <c r="E63" s="585"/>
      <c r="F63" s="333"/>
      <c r="G63" s="343"/>
      <c r="H63" s="181"/>
      <c r="I63" s="602"/>
      <c r="J63" s="602"/>
      <c r="K63" s="602"/>
      <c r="L63" s="602"/>
      <c r="M63" s="602"/>
      <c r="N63" s="602"/>
    </row>
    <row r="64" spans="1:14" ht="11.25" customHeight="1">
      <c r="A64" s="4"/>
      <c r="B64" s="344" t="s">
        <v>189</v>
      </c>
      <c r="C64" s="346">
        <f>C62+C46</f>
        <v>0.7758946996658509</v>
      </c>
      <c r="D64" s="587">
        <f>ROUND($B$66*C64/100,0)*1000</f>
        <v>24355000</v>
      </c>
      <c r="E64" s="587"/>
      <c r="F64" s="331"/>
      <c r="G64" s="590" t="s">
        <v>188</v>
      </c>
      <c r="H64" s="590"/>
      <c r="I64" s="590"/>
      <c r="J64" s="590"/>
      <c r="K64" s="590"/>
      <c r="L64" s="590"/>
      <c r="M64" s="590"/>
      <c r="N64" s="590"/>
    </row>
    <row r="65" spans="1:14" ht="24.75" customHeight="1">
      <c r="A65" s="339" t="s">
        <v>84</v>
      </c>
      <c r="B65" s="340">
        <v>5268.7848</v>
      </c>
      <c r="D65" s="588">
        <f>B66*1000</f>
        <v>3138972000</v>
      </c>
      <c r="E65" s="589"/>
      <c r="G65" s="590"/>
      <c r="H65" s="590"/>
      <c r="I65" s="590"/>
      <c r="J65" s="590"/>
      <c r="K65" s="590"/>
      <c r="L65" s="590"/>
      <c r="M65" s="590"/>
      <c r="N65" s="590"/>
    </row>
    <row r="66" spans="1:14" ht="19.5" customHeight="1" thickBot="1">
      <c r="A66" s="339" t="s">
        <v>111</v>
      </c>
      <c r="B66" s="341">
        <v>3138972</v>
      </c>
      <c r="C66" s="180"/>
      <c r="D66" s="593" t="s">
        <v>191</v>
      </c>
      <c r="E66" s="594"/>
      <c r="G66" s="334"/>
      <c r="H66" s="334"/>
      <c r="I66" s="334"/>
      <c r="J66" s="334"/>
      <c r="K66" s="334"/>
      <c r="L66" s="334"/>
      <c r="M66" s="334"/>
      <c r="N66" s="334"/>
    </row>
    <row r="67" spans="1:14" ht="19.5" customHeight="1">
      <c r="A67" s="339"/>
      <c r="B67" s="341"/>
      <c r="C67" s="180"/>
      <c r="D67" s="350"/>
      <c r="E67" s="350"/>
      <c r="G67" s="334"/>
      <c r="H67" s="334"/>
      <c r="I67" s="352"/>
      <c r="J67" s="351"/>
      <c r="L67" s="334"/>
      <c r="M67" s="334"/>
      <c r="N67" s="334"/>
    </row>
    <row r="68" spans="2:11" ht="11.25">
      <c r="B68" s="1" t="s">
        <v>192</v>
      </c>
      <c r="C68" s="252"/>
      <c r="I68" s="352"/>
      <c r="J68" s="351"/>
      <c r="K68" s="334"/>
    </row>
    <row r="69" spans="2:11" ht="11.25">
      <c r="B69" s="267" t="s">
        <v>194</v>
      </c>
      <c r="I69" s="352"/>
      <c r="J69" s="351"/>
      <c r="K69" s="334"/>
    </row>
    <row r="70" spans="3:11" ht="11.25">
      <c r="C70" s="252"/>
      <c r="I70" s="352"/>
      <c r="J70" s="351"/>
      <c r="K70" s="334"/>
    </row>
    <row r="71" spans="2:11" ht="11.25">
      <c r="B71" s="267"/>
      <c r="I71" s="352"/>
      <c r="J71" s="351"/>
      <c r="K71" s="334"/>
    </row>
    <row r="72" spans="2:11" ht="11.25">
      <c r="B72" s="287"/>
      <c r="I72" s="352"/>
      <c r="J72" s="351"/>
      <c r="K72" s="334"/>
    </row>
    <row r="73" spans="9:11" ht="11.25">
      <c r="I73" s="352"/>
      <c r="J73" s="351"/>
      <c r="K73" s="334"/>
    </row>
    <row r="74" spans="9:11" ht="11.25">
      <c r="I74" s="352"/>
      <c r="J74" s="351"/>
      <c r="K74" s="334"/>
    </row>
    <row r="75" spans="9:11" ht="11.25">
      <c r="I75" s="352"/>
      <c r="J75" s="351"/>
      <c r="K75" s="334"/>
    </row>
    <row r="76" spans="9:11" ht="11.25">
      <c r="I76" s="352"/>
      <c r="J76" s="351"/>
      <c r="K76" s="334"/>
    </row>
    <row r="77" spans="9:11" ht="11.25">
      <c r="I77" s="352"/>
      <c r="J77" s="351"/>
      <c r="K77" s="334"/>
    </row>
    <row r="78" spans="9:11" ht="11.25">
      <c r="I78" s="352"/>
      <c r="J78" s="351"/>
      <c r="K78" s="334"/>
    </row>
    <row r="79" spans="9:11" ht="11.25">
      <c r="I79" s="352"/>
      <c r="J79" s="351"/>
      <c r="K79" s="334"/>
    </row>
    <row r="80" spans="9:11" ht="11.25">
      <c r="I80" s="352"/>
      <c r="J80" s="351"/>
      <c r="K80" s="334"/>
    </row>
    <row r="81" spans="9:10" ht="11.25">
      <c r="I81" s="352"/>
      <c r="J81" s="351"/>
    </row>
    <row r="82" spans="9:10" ht="11.25">
      <c r="I82" s="352"/>
      <c r="J82" s="351"/>
    </row>
    <row r="83" spans="9:10" ht="11.25">
      <c r="I83" s="352"/>
      <c r="J83" s="351"/>
    </row>
  </sheetData>
  <sheetProtection/>
  <mergeCells count="57">
    <mergeCell ref="I55:L55"/>
    <mergeCell ref="M55:N55"/>
    <mergeCell ref="I54:L54"/>
    <mergeCell ref="M54:N54"/>
    <mergeCell ref="C24:C26"/>
    <mergeCell ref="G24:G26"/>
    <mergeCell ref="K24:K26"/>
    <mergeCell ref="D54:E54"/>
    <mergeCell ref="D55:E55"/>
    <mergeCell ref="H24:J24"/>
    <mergeCell ref="D63:E63"/>
    <mergeCell ref="F47:F61"/>
    <mergeCell ref="I59:N60"/>
    <mergeCell ref="I62:N63"/>
    <mergeCell ref="D62:E62"/>
    <mergeCell ref="D61:E61"/>
    <mergeCell ref="I53:L53"/>
    <mergeCell ref="I56:L56"/>
    <mergeCell ref="D52:E52"/>
    <mergeCell ref="D53:E53"/>
    <mergeCell ref="A1:N1"/>
    <mergeCell ref="A2:N2"/>
    <mergeCell ref="A3:A5"/>
    <mergeCell ref="B3:B5"/>
    <mergeCell ref="C4:C5"/>
    <mergeCell ref="C3:F3"/>
    <mergeCell ref="G3:J3"/>
    <mergeCell ref="K3:N3"/>
    <mergeCell ref="H4:J4"/>
    <mergeCell ref="L4:N4"/>
    <mergeCell ref="D64:E64"/>
    <mergeCell ref="D65:E65"/>
    <mergeCell ref="G64:N65"/>
    <mergeCell ref="D60:E60"/>
    <mergeCell ref="M56:N56"/>
    <mergeCell ref="D66:E66"/>
    <mergeCell ref="D58:E58"/>
    <mergeCell ref="D59:E59"/>
    <mergeCell ref="D56:E56"/>
    <mergeCell ref="D57:E57"/>
    <mergeCell ref="M53:N53"/>
    <mergeCell ref="B24:B26"/>
    <mergeCell ref="A24:A26"/>
    <mergeCell ref="I46:N52"/>
    <mergeCell ref="D50:E50"/>
    <mergeCell ref="D51:E51"/>
    <mergeCell ref="D48:E48"/>
    <mergeCell ref="D49:E49"/>
    <mergeCell ref="D46:E46"/>
    <mergeCell ref="D47:E47"/>
    <mergeCell ref="A23:N23"/>
    <mergeCell ref="G4:G5"/>
    <mergeCell ref="K4:K5"/>
    <mergeCell ref="D4:F4"/>
    <mergeCell ref="G45:J45"/>
    <mergeCell ref="D24:F24"/>
    <mergeCell ref="L24:N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colBreaks count="1" manualBreakCount="1">
    <brk id="14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SheetLayoutView="100" zoomScalePageLayoutView="0" workbookViewId="0" topLeftCell="A7">
      <selection activeCell="D16" sqref="D16"/>
    </sheetView>
  </sheetViews>
  <sheetFormatPr defaultColWidth="9.00390625" defaultRowHeight="12.75"/>
  <cols>
    <col min="1" max="1" width="9.125" style="353" customWidth="1"/>
    <col min="2" max="2" width="46.25390625" style="353" customWidth="1"/>
    <col min="3" max="10" width="15.375" style="353" customWidth="1"/>
    <col min="11" max="11" width="13.125" style="353" bestFit="1" customWidth="1"/>
    <col min="12" max="16384" width="9.125" style="353" customWidth="1"/>
  </cols>
  <sheetData>
    <row r="1" spans="1:10" ht="27.75" customHeight="1">
      <c r="A1" s="608" t="s">
        <v>195</v>
      </c>
      <c r="B1" s="608"/>
      <c r="C1" s="608"/>
      <c r="D1" s="608"/>
      <c r="E1" s="608"/>
      <c r="F1" s="608"/>
      <c r="G1" s="608"/>
      <c r="H1" s="608"/>
      <c r="I1" s="608"/>
      <c r="J1" s="608"/>
    </row>
    <row r="2" spans="1:10" ht="24.75" customHeight="1">
      <c r="A2" s="615"/>
      <c r="B2" s="615" t="s">
        <v>197</v>
      </c>
      <c r="C2" s="605" t="s">
        <v>33</v>
      </c>
      <c r="D2" s="606"/>
      <c r="E2" s="605" t="s">
        <v>142</v>
      </c>
      <c r="F2" s="606"/>
      <c r="G2" s="605" t="s">
        <v>198</v>
      </c>
      <c r="H2" s="606"/>
      <c r="I2" s="605" t="s">
        <v>120</v>
      </c>
      <c r="J2" s="606"/>
    </row>
    <row r="3" spans="1:10" ht="61.5" customHeight="1">
      <c r="A3" s="615"/>
      <c r="B3" s="615"/>
      <c r="C3" s="358" t="s">
        <v>201</v>
      </c>
      <c r="D3" s="359" t="s">
        <v>200</v>
      </c>
      <c r="E3" s="358" t="s">
        <v>201</v>
      </c>
      <c r="F3" s="359" t="s">
        <v>200</v>
      </c>
      <c r="G3" s="358" t="s">
        <v>212</v>
      </c>
      <c r="H3" s="359" t="s">
        <v>200</v>
      </c>
      <c r="I3" s="358" t="s">
        <v>201</v>
      </c>
      <c r="J3" s="359" t="s">
        <v>200</v>
      </c>
    </row>
    <row r="4" spans="1:10" ht="82.5" customHeight="1">
      <c r="A4" s="609" t="s">
        <v>196</v>
      </c>
      <c r="B4" s="357" t="s">
        <v>206</v>
      </c>
      <c r="C4" s="354">
        <v>723.4</v>
      </c>
      <c r="D4" s="358" t="s">
        <v>214</v>
      </c>
      <c r="E4" s="354">
        <v>2038.1</v>
      </c>
      <c r="F4" s="358" t="s">
        <v>215</v>
      </c>
      <c r="G4" s="361">
        <v>90</v>
      </c>
      <c r="H4" s="358" t="s">
        <v>226</v>
      </c>
      <c r="I4" s="360">
        <v>0</v>
      </c>
      <c r="J4" s="360">
        <v>0</v>
      </c>
    </row>
    <row r="5" spans="1:10" ht="36.75" customHeight="1">
      <c r="A5" s="610"/>
      <c r="B5" s="357" t="s">
        <v>202</v>
      </c>
      <c r="C5" s="360">
        <v>0</v>
      </c>
      <c r="D5" s="360">
        <v>0</v>
      </c>
      <c r="E5" s="354">
        <v>400.1</v>
      </c>
      <c r="F5" s="358" t="s">
        <v>216</v>
      </c>
      <c r="G5" s="361">
        <v>198</v>
      </c>
      <c r="H5" s="358" t="s">
        <v>217</v>
      </c>
      <c r="I5" s="360">
        <v>0</v>
      </c>
      <c r="J5" s="360">
        <v>0</v>
      </c>
    </row>
    <row r="6" spans="1:10" ht="48.75" customHeight="1">
      <c r="A6" s="610"/>
      <c r="B6" s="355" t="s">
        <v>205</v>
      </c>
      <c r="C6" s="360">
        <v>0</v>
      </c>
      <c r="D6" s="360">
        <v>0</v>
      </c>
      <c r="E6" s="360">
        <v>0</v>
      </c>
      <c r="F6" s="360">
        <v>0</v>
      </c>
      <c r="G6" s="354">
        <v>1050.7</v>
      </c>
      <c r="H6" s="358" t="s">
        <v>210</v>
      </c>
      <c r="I6" s="360">
        <v>0</v>
      </c>
      <c r="J6" s="360">
        <v>0</v>
      </c>
    </row>
    <row r="7" spans="1:10" ht="47.25">
      <c r="A7" s="610"/>
      <c r="B7" s="355" t="s">
        <v>207</v>
      </c>
      <c r="C7" s="360">
        <v>0</v>
      </c>
      <c r="D7" s="360">
        <v>0</v>
      </c>
      <c r="E7" s="360">
        <v>0</v>
      </c>
      <c r="F7" s="360">
        <v>0</v>
      </c>
      <c r="G7" s="354">
        <v>409.1</v>
      </c>
      <c r="H7" s="358" t="s">
        <v>219</v>
      </c>
      <c r="I7" s="354">
        <v>1876.3</v>
      </c>
      <c r="J7" s="358" t="s">
        <v>211</v>
      </c>
    </row>
    <row r="8" spans="1:10" ht="31.5">
      <c r="A8" s="610"/>
      <c r="B8" s="362" t="s">
        <v>208</v>
      </c>
      <c r="C8" s="360">
        <v>0</v>
      </c>
      <c r="D8" s="360">
        <v>0</v>
      </c>
      <c r="E8" s="360">
        <v>0</v>
      </c>
      <c r="F8" s="360">
        <v>0</v>
      </c>
      <c r="G8" s="360">
        <v>0</v>
      </c>
      <c r="H8" s="360">
        <v>0</v>
      </c>
      <c r="I8" s="361">
        <f>Зимники!L9/1000</f>
        <v>690</v>
      </c>
      <c r="J8" s="354" t="s">
        <v>209</v>
      </c>
    </row>
    <row r="9" spans="1:10" ht="15.75">
      <c r="A9" s="610"/>
      <c r="B9" s="356" t="s">
        <v>203</v>
      </c>
      <c r="C9" s="354"/>
      <c r="D9" s="354"/>
      <c r="E9" s="361">
        <v>96.26</v>
      </c>
      <c r="F9" s="354"/>
      <c r="G9" s="361">
        <v>67.73</v>
      </c>
      <c r="H9" s="354"/>
      <c r="I9" s="354">
        <v>76.2</v>
      </c>
      <c r="J9" s="354"/>
    </row>
    <row r="10" spans="1:11" ht="15.75">
      <c r="A10" s="610"/>
      <c r="B10" s="356" t="s">
        <v>199</v>
      </c>
      <c r="C10" s="354">
        <f>C4</f>
        <v>723.4</v>
      </c>
      <c r="D10" s="354"/>
      <c r="E10" s="354">
        <v>1613.3</v>
      </c>
      <c r="F10" s="354"/>
      <c r="G10" s="364">
        <f>1610+517.9+241.1+300+67.73</f>
        <v>2736.73</v>
      </c>
      <c r="H10" s="354"/>
      <c r="I10" s="361">
        <f>I7+I8+I9</f>
        <v>2642.5</v>
      </c>
      <c r="J10" s="354"/>
      <c r="K10" s="363"/>
    </row>
    <row r="11" spans="1:10" ht="15.75">
      <c r="A11" s="610"/>
      <c r="B11" s="356" t="s">
        <v>204</v>
      </c>
      <c r="C11" s="360">
        <v>0</v>
      </c>
      <c r="D11" s="354"/>
      <c r="E11" s="361">
        <f>E10-E4-E5-E9</f>
        <v>-921.16</v>
      </c>
      <c r="F11" s="354"/>
      <c r="G11" s="360">
        <v>0</v>
      </c>
      <c r="H11" s="354"/>
      <c r="I11" s="360">
        <v>0</v>
      </c>
      <c r="J11" s="354"/>
    </row>
    <row r="12" spans="1:10" ht="15.75">
      <c r="A12" s="611"/>
      <c r="B12" s="612" t="s">
        <v>213</v>
      </c>
      <c r="C12" s="613"/>
      <c r="D12" s="613"/>
      <c r="E12" s="613"/>
      <c r="F12" s="613"/>
      <c r="G12" s="613"/>
      <c r="H12" s="613"/>
      <c r="I12" s="613"/>
      <c r="J12" s="614"/>
    </row>
    <row r="13" spans="1:10" ht="81.75" customHeight="1">
      <c r="A13" s="607" t="s">
        <v>218</v>
      </c>
      <c r="B13" s="357" t="s">
        <v>221</v>
      </c>
      <c r="C13" s="360">
        <v>0</v>
      </c>
      <c r="D13" s="360">
        <v>0</v>
      </c>
      <c r="E13" s="354">
        <v>840.6</v>
      </c>
      <c r="F13" s="358" t="s">
        <v>220</v>
      </c>
      <c r="G13" s="361">
        <v>966.1</v>
      </c>
      <c r="H13" s="358" t="s">
        <v>222</v>
      </c>
      <c r="I13" s="360">
        <v>0</v>
      </c>
      <c r="J13" s="360">
        <v>0</v>
      </c>
    </row>
    <row r="14" spans="1:10" ht="31.5">
      <c r="A14" s="607"/>
      <c r="B14" s="362" t="s">
        <v>224</v>
      </c>
      <c r="C14" s="360">
        <v>0</v>
      </c>
      <c r="D14" s="360">
        <v>0</v>
      </c>
      <c r="E14" s="360">
        <v>0</v>
      </c>
      <c r="F14" s="354" t="s">
        <v>225</v>
      </c>
      <c r="G14" s="360">
        <v>0</v>
      </c>
      <c r="H14" s="354" t="s">
        <v>223</v>
      </c>
      <c r="I14" s="366">
        <f>Зимники!L10/1000</f>
        <v>672.468999999985</v>
      </c>
      <c r="J14" s="354" t="s">
        <v>223</v>
      </c>
    </row>
    <row r="15" spans="1:10" ht="15.75">
      <c r="A15" s="607"/>
      <c r="B15" s="356" t="s">
        <v>228</v>
      </c>
      <c r="C15" s="360">
        <v>0</v>
      </c>
      <c r="D15" s="360">
        <v>0</v>
      </c>
      <c r="E15" s="361">
        <f>'[5]СводныйРасчет(безТрНалога)'!$D$12/1000</f>
        <v>427.612</v>
      </c>
      <c r="F15" s="354"/>
      <c r="G15" s="361">
        <f>'[4]СводныйРасчет(безТрНалога)'!$D$12/1000</f>
        <v>427.612</v>
      </c>
      <c r="H15" s="354"/>
      <c r="I15" s="354">
        <f>СодержаниеМежп!E13/1000</f>
        <v>477.3</v>
      </c>
      <c r="J15" s="354"/>
    </row>
    <row r="16" spans="1:10" ht="15.75">
      <c r="A16" s="607"/>
      <c r="B16" s="356" t="s">
        <v>199</v>
      </c>
      <c r="C16" s="360">
        <v>0</v>
      </c>
      <c r="D16" s="360">
        <v>0</v>
      </c>
      <c r="E16" s="361">
        <f>E13+E15</f>
        <v>1268.212</v>
      </c>
      <c r="F16" s="354"/>
      <c r="G16" s="361">
        <f>G13+G15</f>
        <v>1393.712</v>
      </c>
      <c r="H16" s="354"/>
      <c r="I16" s="361">
        <f>I14+I15</f>
        <v>1149.768999999985</v>
      </c>
      <c r="J16" s="354"/>
    </row>
    <row r="17" spans="1:10" ht="15.75">
      <c r="A17" s="607"/>
      <c r="B17" s="356" t="s">
        <v>204</v>
      </c>
      <c r="C17" s="360">
        <v>0</v>
      </c>
      <c r="D17" s="360">
        <v>0</v>
      </c>
      <c r="E17" s="360">
        <v>0</v>
      </c>
      <c r="F17" s="354"/>
      <c r="G17" s="360">
        <v>0</v>
      </c>
      <c r="H17" s="354"/>
      <c r="I17" s="360">
        <v>0</v>
      </c>
      <c r="J17" s="354"/>
    </row>
  </sheetData>
  <sheetProtection/>
  <mergeCells count="10">
    <mergeCell ref="I2:J2"/>
    <mergeCell ref="A13:A17"/>
    <mergeCell ref="A1:J1"/>
    <mergeCell ref="A4:A12"/>
    <mergeCell ref="B12:J12"/>
    <mergeCell ref="B2:B3"/>
    <mergeCell ref="A2:A3"/>
    <mergeCell ref="C2:D2"/>
    <mergeCell ref="E2:F2"/>
    <mergeCell ref="G2:H2"/>
  </mergeCells>
  <printOptions/>
  <pageMargins left="0" right="0" top="0" bottom="0" header="0" footer="0"/>
  <pageSetup horizontalDpi="600" verticalDpi="600" orientation="landscape" paperSize="9" scale="6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E5:E46"/>
  <sheetViews>
    <sheetView zoomScalePageLayoutView="0" workbookViewId="0" topLeftCell="A16">
      <selection activeCell="H18" sqref="H18"/>
    </sheetView>
  </sheetViews>
  <sheetFormatPr defaultColWidth="9.00390625" defaultRowHeight="12.75"/>
  <cols>
    <col min="5" max="5" width="51.125" style="0" bestFit="1" customWidth="1"/>
  </cols>
  <sheetData>
    <row r="5" ht="90">
      <c r="E5" s="424"/>
    </row>
    <row r="6" ht="90">
      <c r="E6" s="424"/>
    </row>
    <row r="7" ht="90">
      <c r="E7" s="424"/>
    </row>
    <row r="8" ht="90">
      <c r="E8" s="424"/>
    </row>
    <row r="9" ht="90">
      <c r="E9" s="424"/>
    </row>
    <row r="10" ht="90">
      <c r="E10" s="424"/>
    </row>
    <row r="11" ht="90">
      <c r="E11" s="424"/>
    </row>
    <row r="12" ht="90">
      <c r="E12" s="424"/>
    </row>
    <row r="13" ht="90">
      <c r="E13" s="424"/>
    </row>
    <row r="14" ht="90">
      <c r="E14" s="424"/>
    </row>
    <row r="15" ht="90">
      <c r="E15" s="424"/>
    </row>
    <row r="16" ht="90">
      <c r="E16" s="424"/>
    </row>
    <row r="17" ht="90">
      <c r="E17" s="424"/>
    </row>
    <row r="18" ht="90">
      <c r="E18" s="424"/>
    </row>
    <row r="19" ht="90">
      <c r="E19" s="424"/>
    </row>
    <row r="20" ht="90">
      <c r="E20" s="424"/>
    </row>
    <row r="21" ht="90">
      <c r="E21" s="424"/>
    </row>
    <row r="22" ht="90">
      <c r="E22" s="424"/>
    </row>
    <row r="23" ht="90">
      <c r="E23" s="424"/>
    </row>
    <row r="24" ht="90">
      <c r="E24" s="424"/>
    </row>
    <row r="25" ht="90">
      <c r="E25" s="424"/>
    </row>
    <row r="26" ht="90">
      <c r="E26" s="424"/>
    </row>
    <row r="27" ht="90">
      <c r="E27" s="424"/>
    </row>
    <row r="28" ht="90">
      <c r="E28" s="424"/>
    </row>
    <row r="29" ht="90">
      <c r="E29" s="424"/>
    </row>
    <row r="30" ht="90">
      <c r="E30" s="424"/>
    </row>
    <row r="31" ht="90">
      <c r="E31" s="424"/>
    </row>
    <row r="32" ht="90">
      <c r="E32" s="424"/>
    </row>
    <row r="33" ht="90">
      <c r="E33" s="424"/>
    </row>
    <row r="34" ht="90">
      <c r="E34" s="424"/>
    </row>
    <row r="35" ht="90">
      <c r="E35" s="424"/>
    </row>
    <row r="36" ht="90">
      <c r="E36" s="424"/>
    </row>
    <row r="37" ht="90">
      <c r="E37" s="424"/>
    </row>
    <row r="38" ht="90">
      <c r="E38" s="424"/>
    </row>
    <row r="39" ht="90">
      <c r="E39" s="424"/>
    </row>
    <row r="40" ht="90">
      <c r="E40" s="424"/>
    </row>
    <row r="41" ht="90">
      <c r="E41" s="424"/>
    </row>
    <row r="42" ht="90">
      <c r="E42" s="424"/>
    </row>
    <row r="43" ht="90">
      <c r="E43" s="424"/>
    </row>
    <row r="44" ht="90">
      <c r="E44" s="424"/>
    </row>
    <row r="45" ht="90">
      <c r="E45" s="424"/>
    </row>
    <row r="46" ht="90">
      <c r="E46" s="424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selection activeCell="D5" sqref="D5"/>
    </sheetView>
  </sheetViews>
  <sheetFormatPr defaultColWidth="9.00390625" defaultRowHeight="12.75"/>
  <cols>
    <col min="1" max="1" width="23.75390625" style="0" customWidth="1"/>
    <col min="2" max="2" width="14.00390625" style="0" customWidth="1"/>
    <col min="3" max="3" width="23.625" style="0" customWidth="1"/>
    <col min="4" max="4" width="23.375" style="0" customWidth="1"/>
    <col min="5" max="5" width="23.75390625" style="0" hidden="1" customWidth="1"/>
    <col min="6" max="6" width="22.75390625" style="0" customWidth="1"/>
    <col min="7" max="7" width="23.625" style="0" customWidth="1"/>
    <col min="8" max="8" width="22.875" style="0" customWidth="1"/>
  </cols>
  <sheetData>
    <row r="1" ht="12.75">
      <c r="D1" t="s">
        <v>247</v>
      </c>
    </row>
    <row r="2" spans="4:6" ht="36.75" customHeight="1">
      <c r="D2" s="616" t="s">
        <v>250</v>
      </c>
      <c r="E2" s="616"/>
      <c r="F2" s="616"/>
    </row>
    <row r="3" ht="17.25" customHeight="1">
      <c r="D3" t="s">
        <v>247</v>
      </c>
    </row>
    <row r="4" spans="4:6" ht="37.5" customHeight="1">
      <c r="D4" s="616" t="s">
        <v>249</v>
      </c>
      <c r="E4" s="616"/>
      <c r="F4" s="616"/>
    </row>
    <row r="5" ht="18.75" customHeight="1">
      <c r="D5" t="s">
        <v>242</v>
      </c>
    </row>
    <row r="6" spans="4:6" ht="36.75" customHeight="1">
      <c r="D6" s="616" t="s">
        <v>248</v>
      </c>
      <c r="E6" s="616"/>
      <c r="F6" s="616"/>
    </row>
    <row r="7" ht="8.25" customHeight="1">
      <c r="D7" s="434"/>
    </row>
    <row r="8" spans="1:5" ht="48" customHeight="1">
      <c r="A8" s="621" t="s">
        <v>243</v>
      </c>
      <c r="B8" s="622"/>
      <c r="C8" s="622"/>
      <c r="D8" s="623"/>
      <c r="E8" s="623"/>
    </row>
    <row r="9" spans="1:8" ht="101.25" customHeight="1">
      <c r="A9" s="624" t="s">
        <v>2</v>
      </c>
      <c r="B9" s="626" t="s">
        <v>237</v>
      </c>
      <c r="C9" s="628" t="s">
        <v>240</v>
      </c>
      <c r="D9" s="630" t="s">
        <v>241</v>
      </c>
      <c r="E9" s="631"/>
      <c r="F9" s="617" t="s">
        <v>244</v>
      </c>
      <c r="G9" s="617" t="s">
        <v>246</v>
      </c>
      <c r="H9" s="620" t="s">
        <v>245</v>
      </c>
    </row>
    <row r="10" spans="1:8" ht="63.75" customHeight="1">
      <c r="A10" s="625"/>
      <c r="B10" s="627"/>
      <c r="C10" s="629"/>
      <c r="D10" s="630"/>
      <c r="E10" s="631"/>
      <c r="F10" s="618"/>
      <c r="G10" s="618"/>
      <c r="H10" s="620"/>
    </row>
    <row r="11" spans="1:8" ht="15.75" customHeight="1">
      <c r="A11" s="625"/>
      <c r="B11" s="627"/>
      <c r="C11" s="629"/>
      <c r="D11" s="630"/>
      <c r="E11" s="631"/>
      <c r="F11" s="619"/>
      <c r="G11" s="619"/>
      <c r="H11" s="620"/>
    </row>
    <row r="12" spans="1:8" ht="15.75" customHeight="1">
      <c r="A12" s="425" t="s">
        <v>3</v>
      </c>
      <c r="B12" s="426">
        <f>C12+D12+F12+G12+H12</f>
        <v>1216593</v>
      </c>
      <c r="C12" s="268">
        <v>83994</v>
      </c>
      <c r="D12" s="440">
        <v>1132599</v>
      </c>
      <c r="E12" s="430"/>
      <c r="F12" s="262"/>
      <c r="G12" s="262"/>
      <c r="H12" s="262"/>
    </row>
    <row r="13" spans="1:8" ht="15.75" customHeight="1">
      <c r="A13" s="425" t="s">
        <v>4</v>
      </c>
      <c r="B13" s="426">
        <f aca="true" t="shared" si="0" ref="B13:B27">C13+D13+F13+G13+H13</f>
        <v>1516211</v>
      </c>
      <c r="C13" s="268">
        <v>545962</v>
      </c>
      <c r="D13" s="268">
        <v>970249</v>
      </c>
      <c r="E13" s="298"/>
      <c r="F13" s="262"/>
      <c r="G13" s="262"/>
      <c r="H13" s="262"/>
    </row>
    <row r="14" spans="1:8" ht="14.25" customHeight="1">
      <c r="A14" s="425" t="s">
        <v>5</v>
      </c>
      <c r="B14" s="426">
        <f t="shared" si="0"/>
        <v>1089448</v>
      </c>
      <c r="C14" s="268">
        <v>251983</v>
      </c>
      <c r="D14" s="268">
        <v>837465</v>
      </c>
      <c r="E14" s="298"/>
      <c r="F14" s="262"/>
      <c r="G14" s="262"/>
      <c r="H14" s="262"/>
    </row>
    <row r="15" spans="1:8" ht="14.25" customHeight="1">
      <c r="A15" s="425" t="s">
        <v>239</v>
      </c>
      <c r="B15" s="426">
        <f t="shared" si="0"/>
        <v>55623.23</v>
      </c>
      <c r="C15" s="268"/>
      <c r="D15" s="268"/>
      <c r="E15" s="298"/>
      <c r="F15" s="262"/>
      <c r="G15" s="268">
        <v>55623.23</v>
      </c>
      <c r="H15" s="262"/>
    </row>
    <row r="16" spans="1:8" ht="14.25" customHeight="1">
      <c r="A16" s="425" t="s">
        <v>7</v>
      </c>
      <c r="B16" s="426">
        <f t="shared" si="0"/>
        <v>1325914</v>
      </c>
      <c r="C16" s="268"/>
      <c r="D16" s="268">
        <v>1325914</v>
      </c>
      <c r="E16" s="298"/>
      <c r="F16" s="262"/>
      <c r="G16" s="268"/>
      <c r="H16" s="262"/>
    </row>
    <row r="17" spans="1:8" ht="14.25" customHeight="1">
      <c r="A17" s="425" t="s">
        <v>8</v>
      </c>
      <c r="B17" s="426">
        <f t="shared" si="0"/>
        <v>1474757</v>
      </c>
      <c r="C17" s="268">
        <v>509056</v>
      </c>
      <c r="D17" s="268">
        <v>965701</v>
      </c>
      <c r="E17" s="298"/>
      <c r="F17" s="262"/>
      <c r="G17" s="268"/>
      <c r="H17" s="262"/>
    </row>
    <row r="18" spans="1:8" ht="14.25" customHeight="1">
      <c r="A18" s="425" t="s">
        <v>9</v>
      </c>
      <c r="B18" s="426">
        <f t="shared" si="0"/>
        <v>1061280.52</v>
      </c>
      <c r="C18" s="268">
        <v>333432</v>
      </c>
      <c r="D18" s="268">
        <v>715563</v>
      </c>
      <c r="E18" s="298"/>
      <c r="F18" s="262"/>
      <c r="G18" s="268"/>
      <c r="H18" s="268">
        <v>12285.52</v>
      </c>
    </row>
    <row r="19" spans="1:8" ht="14.25" customHeight="1">
      <c r="A19" s="425" t="s">
        <v>10</v>
      </c>
      <c r="B19" s="426">
        <f t="shared" si="0"/>
        <v>1497307</v>
      </c>
      <c r="C19" s="268">
        <f>927754-420000</f>
        <v>507754</v>
      </c>
      <c r="D19" s="268">
        <f>569553+420000</f>
        <v>989553</v>
      </c>
      <c r="E19" s="298"/>
      <c r="F19" s="262"/>
      <c r="G19" s="268"/>
      <c r="H19" s="262"/>
    </row>
    <row r="20" spans="1:8" ht="14.25" customHeight="1">
      <c r="A20" s="433" t="s">
        <v>11</v>
      </c>
      <c r="B20" s="426">
        <f t="shared" si="0"/>
        <v>190490.25</v>
      </c>
      <c r="C20" s="432"/>
      <c r="D20" s="268"/>
      <c r="E20" s="298"/>
      <c r="F20" s="268">
        <v>190490.25</v>
      </c>
      <c r="G20" s="268"/>
      <c r="H20" s="262"/>
    </row>
    <row r="21" spans="1:8" ht="14.25" customHeight="1">
      <c r="A21" s="425" t="s">
        <v>12</v>
      </c>
      <c r="B21" s="426">
        <f t="shared" si="0"/>
        <v>438359</v>
      </c>
      <c r="C21" s="268">
        <v>35634</v>
      </c>
      <c r="D21" s="268">
        <v>402725</v>
      </c>
      <c r="E21" s="298"/>
      <c r="F21" s="268"/>
      <c r="G21" s="268"/>
      <c r="H21" s="262"/>
    </row>
    <row r="22" spans="1:8" ht="14.25" customHeight="1">
      <c r="A22" s="425" t="s">
        <v>13</v>
      </c>
      <c r="B22" s="426">
        <f t="shared" si="0"/>
        <v>1198960</v>
      </c>
      <c r="C22" s="268">
        <v>432698</v>
      </c>
      <c r="D22" s="268">
        <v>766262</v>
      </c>
      <c r="E22" s="298"/>
      <c r="F22" s="268"/>
      <c r="G22" s="268"/>
      <c r="H22" s="262"/>
    </row>
    <row r="23" spans="1:8" ht="24.75" customHeight="1">
      <c r="A23" s="427" t="s">
        <v>26</v>
      </c>
      <c r="B23" s="426">
        <f t="shared" si="0"/>
        <v>2184668.7300000004</v>
      </c>
      <c r="C23" s="268">
        <f>1753952-553437.92</f>
        <v>1200514.08</v>
      </c>
      <c r="D23" s="268">
        <f>1326439-343060.34</f>
        <v>983378.6599999999</v>
      </c>
      <c r="E23" s="298"/>
      <c r="F23" s="268"/>
      <c r="G23" s="268">
        <v>775.99</v>
      </c>
      <c r="H23" s="262"/>
    </row>
    <row r="24" spans="1:8" ht="14.25" customHeight="1">
      <c r="A24" s="425" t="s">
        <v>14</v>
      </c>
      <c r="B24" s="426">
        <f t="shared" si="0"/>
        <v>648945</v>
      </c>
      <c r="C24" s="298">
        <v>229075</v>
      </c>
      <c r="D24" s="268">
        <v>419870</v>
      </c>
      <c r="E24" s="298"/>
      <c r="F24" s="268"/>
      <c r="G24" s="268"/>
      <c r="H24" s="262"/>
    </row>
    <row r="25" spans="1:8" ht="14.25" customHeight="1">
      <c r="A25" s="425" t="s">
        <v>15</v>
      </c>
      <c r="B25" s="426">
        <f t="shared" si="0"/>
        <v>1685660.8299999998</v>
      </c>
      <c r="C25" s="268">
        <v>848342</v>
      </c>
      <c r="D25" s="268">
        <v>799852</v>
      </c>
      <c r="E25" s="298"/>
      <c r="F25" s="268">
        <v>8646.19</v>
      </c>
      <c r="G25" s="268">
        <v>28820.64</v>
      </c>
      <c r="H25" s="262"/>
    </row>
    <row r="26" spans="1:8" ht="14.25" customHeight="1">
      <c r="A26" s="425" t="s">
        <v>16</v>
      </c>
      <c r="B26" s="426">
        <f t="shared" si="0"/>
        <v>546482</v>
      </c>
      <c r="C26" s="268">
        <v>63632</v>
      </c>
      <c r="D26" s="268">
        <v>482850</v>
      </c>
      <c r="E26" s="298"/>
      <c r="F26" s="262"/>
      <c r="G26" s="262"/>
      <c r="H26" s="262"/>
    </row>
    <row r="27" spans="1:8" ht="14.25" customHeight="1" thickBot="1">
      <c r="A27" s="428" t="s">
        <v>17</v>
      </c>
      <c r="B27" s="426">
        <f t="shared" si="0"/>
        <v>0</v>
      </c>
      <c r="C27" s="431"/>
      <c r="D27" s="431"/>
      <c r="E27" s="429"/>
      <c r="F27" s="441"/>
      <c r="G27" s="441"/>
      <c r="H27" s="441"/>
    </row>
    <row r="28" spans="1:8" s="437" customFormat="1" ht="14.25" customHeight="1" thickBot="1">
      <c r="A28" s="435" t="s">
        <v>238</v>
      </c>
      <c r="B28" s="438">
        <f aca="true" t="shared" si="1" ref="B28:H28">SUM(B12:B27)</f>
        <v>16130699.56</v>
      </c>
      <c r="C28" s="438">
        <f t="shared" si="1"/>
        <v>5042076.08</v>
      </c>
      <c r="D28" s="436">
        <f t="shared" si="1"/>
        <v>10791981.66</v>
      </c>
      <c r="E28" s="439">
        <f t="shared" si="1"/>
        <v>0</v>
      </c>
      <c r="F28" s="436">
        <f t="shared" si="1"/>
        <v>199136.44</v>
      </c>
      <c r="G28" s="436">
        <f t="shared" si="1"/>
        <v>85219.86</v>
      </c>
      <c r="H28" s="436">
        <f t="shared" si="1"/>
        <v>12285.52</v>
      </c>
    </row>
    <row r="29" ht="12.75">
      <c r="B29" s="193"/>
    </row>
    <row r="31" spans="3:4" ht="12.75">
      <c r="C31" s="193"/>
      <c r="D31" s="193"/>
    </row>
    <row r="33" spans="3:4" ht="12.75">
      <c r="C33" s="193"/>
      <c r="D33" s="193"/>
    </row>
  </sheetData>
  <sheetProtection/>
  <mergeCells count="11">
    <mergeCell ref="F9:F11"/>
    <mergeCell ref="D2:F2"/>
    <mergeCell ref="D4:F4"/>
    <mergeCell ref="D6:F6"/>
    <mergeCell ref="G9:G11"/>
    <mergeCell ref="H9:H11"/>
    <mergeCell ref="A8:E8"/>
    <mergeCell ref="A9:A11"/>
    <mergeCell ref="B9:B11"/>
    <mergeCell ref="C9:C11"/>
    <mergeCell ref="D9:E11"/>
  </mergeCells>
  <printOptions/>
  <pageMargins left="0.984251968503937" right="0" top="0.22" bottom="0" header="0" footer="0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view="pageBreakPreview" zoomScaleSheetLayoutView="100" zoomScalePageLayoutView="0" workbookViewId="0" topLeftCell="A4">
      <selection activeCell="D8" sqref="D8:D24"/>
    </sheetView>
  </sheetViews>
  <sheetFormatPr defaultColWidth="8.625" defaultRowHeight="18" customHeight="1"/>
  <cols>
    <col min="1" max="1" width="8.625" style="74" customWidth="1"/>
    <col min="2" max="2" width="39.875" style="74" customWidth="1"/>
    <col min="3" max="3" width="35.00390625" style="74" customWidth="1"/>
    <col min="4" max="4" width="35.125" style="74" customWidth="1"/>
    <col min="5" max="5" width="23.25390625" style="11" customWidth="1"/>
    <col min="6" max="6" width="25.625" style="11" customWidth="1"/>
    <col min="7" max="16384" width="8.625" style="11" customWidth="1"/>
  </cols>
  <sheetData>
    <row r="1" spans="1:6" ht="18" customHeight="1">
      <c r="A1" s="442"/>
      <c r="B1" s="442"/>
      <c r="C1" s="442"/>
      <c r="D1" s="442"/>
      <c r="E1" s="138"/>
      <c r="F1" s="138"/>
    </row>
    <row r="2" spans="1:6" ht="18" customHeight="1">
      <c r="A2" s="442"/>
      <c r="B2" s="442"/>
      <c r="C2" s="442"/>
      <c r="D2" s="442"/>
      <c r="E2" s="138"/>
      <c r="F2" s="138"/>
    </row>
    <row r="3" spans="1:6" ht="18" customHeight="1">
      <c r="A3" s="443"/>
      <c r="B3" s="443"/>
      <c r="C3" s="443"/>
      <c r="D3" s="443"/>
      <c r="E3" s="144"/>
      <c r="F3" s="144"/>
    </row>
    <row r="4" spans="1:6" ht="9" customHeight="1">
      <c r="A4" s="145"/>
      <c r="B4" s="145"/>
      <c r="C4" s="145"/>
      <c r="D4" s="145"/>
      <c r="E4" s="144"/>
      <c r="F4" s="144"/>
    </row>
    <row r="5" spans="1:4" ht="130.5" customHeight="1">
      <c r="A5" s="451" t="s">
        <v>107</v>
      </c>
      <c r="B5" s="452"/>
      <c r="C5" s="452"/>
      <c r="D5" s="452"/>
    </row>
    <row r="6" ht="24.75" customHeight="1" hidden="1"/>
    <row r="7" spans="1:5" ht="57.75" customHeight="1">
      <c r="A7" s="127" t="s">
        <v>94</v>
      </c>
      <c r="B7" s="155" t="s">
        <v>2</v>
      </c>
      <c r="C7" s="75" t="s">
        <v>54</v>
      </c>
      <c r="D7" s="128" t="s">
        <v>81</v>
      </c>
      <c r="E7" s="134"/>
    </row>
    <row r="8" spans="1:5" ht="33" customHeight="1">
      <c r="A8" s="127"/>
      <c r="B8" s="127" t="s">
        <v>82</v>
      </c>
      <c r="C8" s="132">
        <f>ДифНорматив!G63</f>
        <v>0.33197177843114456</v>
      </c>
      <c r="D8" s="133">
        <f>ROUND($A$25*C8,0)</f>
        <v>560734</v>
      </c>
      <c r="E8" s="135"/>
    </row>
    <row r="9" spans="1:5" s="24" customFormat="1" ht="23.25" customHeight="1">
      <c r="A9" s="76">
        <v>1</v>
      </c>
      <c r="B9" s="77" t="s">
        <v>11</v>
      </c>
      <c r="C9" s="129">
        <f>ДифНорматив!C47</f>
        <v>0.133849370974551</v>
      </c>
      <c r="D9" s="133">
        <f aca="true" t="shared" si="0" ref="D9:D24">ROUND($A$25*C9,0)</f>
        <v>226085</v>
      </c>
      <c r="E9" s="135"/>
    </row>
    <row r="10" spans="1:5" s="24" customFormat="1" ht="23.25" customHeight="1">
      <c r="A10" s="76">
        <v>2</v>
      </c>
      <c r="B10" s="77" t="s">
        <v>3</v>
      </c>
      <c r="C10" s="129">
        <f>ДифНорматив!C48</f>
        <v>0.04898491011130028</v>
      </c>
      <c r="D10" s="133">
        <f t="shared" si="0"/>
        <v>82740</v>
      </c>
      <c r="E10" s="135"/>
    </row>
    <row r="11" spans="1:5" s="24" customFormat="1" ht="23.25" customHeight="1">
      <c r="A11" s="127">
        <v>3</v>
      </c>
      <c r="B11" s="77" t="s">
        <v>4</v>
      </c>
      <c r="C11" s="129">
        <f>ДифНорматив!C49</f>
        <v>0.04139923701979895</v>
      </c>
      <c r="D11" s="133">
        <f t="shared" si="0"/>
        <v>69927</v>
      </c>
      <c r="E11" s="135"/>
    </row>
    <row r="12" spans="1:5" s="24" customFormat="1" ht="23.25" customHeight="1">
      <c r="A12" s="76">
        <v>4</v>
      </c>
      <c r="B12" s="77" t="s">
        <v>5</v>
      </c>
      <c r="C12" s="129">
        <f>ДифНорматив!C50</f>
        <v>0.023330254909085375</v>
      </c>
      <c r="D12" s="133">
        <f t="shared" si="0"/>
        <v>39407</v>
      </c>
      <c r="E12" s="135"/>
    </row>
    <row r="13" spans="1:5" ht="23.25" customHeight="1">
      <c r="A13" s="76">
        <v>5</v>
      </c>
      <c r="B13" s="78" t="s">
        <v>6</v>
      </c>
      <c r="C13" s="129">
        <f>ДифНорматив!C51</f>
        <v>0.04015193459565851</v>
      </c>
      <c r="D13" s="133">
        <f t="shared" si="0"/>
        <v>67821</v>
      </c>
      <c r="E13" s="135"/>
    </row>
    <row r="14" spans="1:5" s="24" customFormat="1" ht="23.25" customHeight="1">
      <c r="A14" s="127">
        <v>6</v>
      </c>
      <c r="B14" s="77" t="s">
        <v>7</v>
      </c>
      <c r="C14" s="129">
        <f>ДифНорматив!C52</f>
        <v>0.040065046613494415</v>
      </c>
      <c r="D14" s="133">
        <f t="shared" si="0"/>
        <v>67674</v>
      </c>
      <c r="E14" s="135"/>
    </row>
    <row r="15" spans="1:5" s="24" customFormat="1" ht="23.25" customHeight="1">
      <c r="A15" s="76">
        <v>7</v>
      </c>
      <c r="B15" s="77" t="s">
        <v>8</v>
      </c>
      <c r="C15" s="129">
        <f>ДифНорматив!C53</f>
        <v>0.028585852591505014</v>
      </c>
      <c r="D15" s="133">
        <f t="shared" si="0"/>
        <v>48284</v>
      </c>
      <c r="E15" s="135"/>
    </row>
    <row r="16" spans="1:5" s="24" customFormat="1" ht="23.25" customHeight="1">
      <c r="A16" s="76">
        <v>8</v>
      </c>
      <c r="B16" s="77" t="s">
        <v>9</v>
      </c>
      <c r="C16" s="129">
        <f>ДифНорматив!C54</f>
        <v>0.0309262997642234</v>
      </c>
      <c r="D16" s="133">
        <f t="shared" si="0"/>
        <v>52238</v>
      </c>
      <c r="E16" s="135"/>
    </row>
    <row r="17" spans="1:5" s="24" customFormat="1" ht="23.25" customHeight="1">
      <c r="A17" s="127">
        <v>9</v>
      </c>
      <c r="B17" s="77" t="s">
        <v>10</v>
      </c>
      <c r="C17" s="129">
        <f>ДифНорматив!C55</f>
        <v>0.03442882477497309</v>
      </c>
      <c r="D17" s="133">
        <f t="shared" si="0"/>
        <v>58154</v>
      </c>
      <c r="E17" s="135"/>
    </row>
    <row r="18" spans="1:5" s="24" customFormat="1" ht="23.25" customHeight="1">
      <c r="A18" s="76">
        <v>10</v>
      </c>
      <c r="B18" s="77" t="s">
        <v>12</v>
      </c>
      <c r="C18" s="129">
        <f>ДифНорматив!C56</f>
        <v>0.015095221351782288</v>
      </c>
      <c r="D18" s="133">
        <f t="shared" si="0"/>
        <v>25497</v>
      </c>
      <c r="E18" s="136"/>
    </row>
    <row r="19" spans="1:5" s="24" customFormat="1" ht="23.25" customHeight="1">
      <c r="A19" s="76">
        <v>11</v>
      </c>
      <c r="B19" s="77" t="s">
        <v>13</v>
      </c>
      <c r="C19" s="129">
        <f>ДифНорматив!C57</f>
        <v>0.03345852671739405</v>
      </c>
      <c r="D19" s="133">
        <f t="shared" si="0"/>
        <v>56515</v>
      </c>
      <c r="E19" s="135"/>
    </row>
    <row r="20" spans="1:5" s="24" customFormat="1" ht="23.25" customHeight="1">
      <c r="A20" s="127">
        <v>12</v>
      </c>
      <c r="B20" s="77" t="s">
        <v>26</v>
      </c>
      <c r="C20" s="129">
        <f>ДифНорматив!C58</f>
        <v>0.04142081224509985</v>
      </c>
      <c r="D20" s="133">
        <f t="shared" si="0"/>
        <v>69964</v>
      </c>
      <c r="E20" s="135"/>
    </row>
    <row r="21" spans="1:5" s="24" customFormat="1" ht="23.25" customHeight="1">
      <c r="A21" s="76">
        <v>13</v>
      </c>
      <c r="B21" s="77" t="s">
        <v>14</v>
      </c>
      <c r="C21" s="129">
        <f>ДифНорматив!C59</f>
        <v>0.018968585835957546</v>
      </c>
      <c r="D21" s="133">
        <f t="shared" si="0"/>
        <v>32040</v>
      </c>
      <c r="E21" s="135"/>
    </row>
    <row r="22" spans="1:5" s="24" customFormat="1" ht="23.25" customHeight="1">
      <c r="A22" s="76">
        <v>14</v>
      </c>
      <c r="B22" s="77" t="s">
        <v>15</v>
      </c>
      <c r="C22" s="129">
        <f>ДифНорматив!C60</f>
        <v>0.03171210762994389</v>
      </c>
      <c r="D22" s="133">
        <f t="shared" si="0"/>
        <v>53565</v>
      </c>
      <c r="E22" s="135"/>
    </row>
    <row r="23" spans="1:5" s="24" customFormat="1" ht="23.25" customHeight="1">
      <c r="A23" s="127">
        <v>15</v>
      </c>
      <c r="B23" s="77" t="s">
        <v>16</v>
      </c>
      <c r="C23" s="129">
        <f>ДифНорматив!C61</f>
        <v>0.01894148226494465</v>
      </c>
      <c r="D23" s="133">
        <f t="shared" si="0"/>
        <v>31994</v>
      </c>
      <c r="E23" s="135"/>
    </row>
    <row r="24" spans="1:5" s="24" customFormat="1" ht="23.25" customHeight="1">
      <c r="A24" s="76">
        <v>16</v>
      </c>
      <c r="B24" s="77" t="s">
        <v>17</v>
      </c>
      <c r="C24" s="129">
        <f>ДифНорматив!C62</f>
        <v>0.08670975416914321</v>
      </c>
      <c r="D24" s="133">
        <f t="shared" si="0"/>
        <v>146461</v>
      </c>
      <c r="E24" s="135"/>
    </row>
    <row r="25" spans="1:5" s="32" customFormat="1" ht="23.25" customHeight="1">
      <c r="A25" s="156">
        <f>РасчетРайону!C4</f>
        <v>1689100</v>
      </c>
      <c r="B25" s="79" t="s">
        <v>27</v>
      </c>
      <c r="C25" s="130">
        <f>SUM(C9:C24)</f>
        <v>0.6680282215688554</v>
      </c>
      <c r="D25" s="154">
        <f>SUM(D9:D24)</f>
        <v>1128366</v>
      </c>
      <c r="E25" s="137"/>
    </row>
    <row r="26" spans="1:4" s="32" customFormat="1" ht="18" customHeight="1">
      <c r="A26" s="450"/>
      <c r="B26" s="450"/>
      <c r="C26" s="450"/>
      <c r="D26" s="450"/>
    </row>
  </sheetData>
  <sheetProtection/>
  <mergeCells count="5">
    <mergeCell ref="A26:D26"/>
    <mergeCell ref="A1:D1"/>
    <mergeCell ref="A2:D2"/>
    <mergeCell ref="A3:D3"/>
    <mergeCell ref="A5:D5"/>
  </mergeCells>
  <printOptions horizontalCentered="1"/>
  <pageMargins left="0.35433070866141736" right="0.43307086614173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SheetLayoutView="100" zoomScalePageLayoutView="0" workbookViewId="0" topLeftCell="A13">
      <selection activeCell="C7" sqref="C7"/>
    </sheetView>
  </sheetViews>
  <sheetFormatPr defaultColWidth="8.625" defaultRowHeight="18" customHeight="1"/>
  <cols>
    <col min="1" max="1" width="8.625" style="74" customWidth="1"/>
    <col min="2" max="2" width="38.875" style="74" customWidth="1"/>
    <col min="3" max="3" width="12.625" style="74" hidden="1" customWidth="1"/>
    <col min="4" max="4" width="32.875" style="74" customWidth="1"/>
    <col min="5" max="5" width="12.00390625" style="11" customWidth="1"/>
    <col min="6" max="6" width="2.25390625" style="11" customWidth="1"/>
    <col min="7" max="7" width="15.25390625" style="11" customWidth="1"/>
    <col min="8" max="16384" width="8.625" style="11" customWidth="1"/>
  </cols>
  <sheetData>
    <row r="1" spans="1:5" ht="18" customHeight="1">
      <c r="A1" s="442"/>
      <c r="B1" s="442"/>
      <c r="C1" s="442"/>
      <c r="D1" s="442"/>
      <c r="E1" s="138"/>
    </row>
    <row r="2" spans="1:5" ht="18" customHeight="1">
      <c r="A2" s="451" t="s">
        <v>88</v>
      </c>
      <c r="B2" s="451"/>
      <c r="C2" s="451"/>
      <c r="D2" s="451"/>
      <c r="E2" s="138"/>
    </row>
    <row r="3" spans="1:5" ht="18" customHeight="1">
      <c r="A3" s="451"/>
      <c r="B3" s="451"/>
      <c r="C3" s="451"/>
      <c r="D3" s="451"/>
      <c r="E3" s="144"/>
    </row>
    <row r="4" spans="1:5" ht="9" customHeight="1">
      <c r="A4" s="451"/>
      <c r="B4" s="451"/>
      <c r="C4" s="451"/>
      <c r="D4" s="451"/>
      <c r="E4" s="144"/>
    </row>
    <row r="5" spans="1:4" ht="111.75" customHeight="1">
      <c r="A5" s="451"/>
      <c r="B5" s="451"/>
      <c r="C5" s="451"/>
      <c r="D5" s="451"/>
    </row>
    <row r="6" ht="9" customHeight="1"/>
    <row r="7" spans="1:4" ht="58.5" customHeight="1">
      <c r="A7" s="155" t="s">
        <v>94</v>
      </c>
      <c r="B7" s="155" t="s">
        <v>2</v>
      </c>
      <c r="C7" s="75" t="s">
        <v>54</v>
      </c>
      <c r="D7" s="128" t="s">
        <v>81</v>
      </c>
    </row>
    <row r="8" spans="1:8" ht="37.5" customHeight="1">
      <c r="A8" s="127"/>
      <c r="B8" s="127" t="s">
        <v>82</v>
      </c>
      <c r="C8" s="132">
        <f>ДифНорматив!G63+ДифНорматив!C47</f>
        <v>0.4658211494056955</v>
      </c>
      <c r="D8" s="133">
        <f>ROUND($D$25*C8,0)</f>
        <v>786819</v>
      </c>
      <c r="E8" s="11">
        <f>ДифНорматив!C81</f>
        <v>0.25757514234563106</v>
      </c>
      <c r="G8" s="45">
        <f aca="true" t="shared" si="0" ref="G8:G24">ROUND($D$25/$E$25*E8,0)</f>
        <v>560734</v>
      </c>
      <c r="H8" s="45">
        <f>G8+G9-D8</f>
        <v>0</v>
      </c>
    </row>
    <row r="9" spans="1:7" s="24" customFormat="1" ht="23.25" customHeight="1">
      <c r="A9" s="76">
        <v>1</v>
      </c>
      <c r="B9" s="77" t="s">
        <v>11</v>
      </c>
      <c r="C9" s="129"/>
      <c r="D9" s="133"/>
      <c r="E9" s="24">
        <f>ДифНорматив!C65</f>
        <v>0.10385301709854229</v>
      </c>
      <c r="G9" s="45">
        <f t="shared" si="0"/>
        <v>226085</v>
      </c>
    </row>
    <row r="10" spans="1:8" s="24" customFormat="1" ht="23.25" customHeight="1">
      <c r="A10" s="76">
        <v>2</v>
      </c>
      <c r="B10" s="77" t="s">
        <v>3</v>
      </c>
      <c r="C10" s="129">
        <f>ДифНорматив!C48</f>
        <v>0.04898491011130028</v>
      </c>
      <c r="D10" s="133">
        <f aca="true" t="shared" si="1" ref="D10:D23">ROUND($D$25*C10,0)</f>
        <v>82740</v>
      </c>
      <c r="E10" s="24">
        <f>ДифНорматив!C66</f>
        <v>0.03800713197469317</v>
      </c>
      <c r="G10" s="45">
        <f t="shared" si="0"/>
        <v>82740</v>
      </c>
      <c r="H10" s="110">
        <f aca="true" t="shared" si="2" ref="H10:H25">G10-D10</f>
        <v>0</v>
      </c>
    </row>
    <row r="11" spans="1:8" s="24" customFormat="1" ht="23.25" customHeight="1">
      <c r="A11" s="127">
        <v>3</v>
      </c>
      <c r="B11" s="77" t="s">
        <v>4</v>
      </c>
      <c r="C11" s="129">
        <f>ДифНорматив!C49</f>
        <v>0.04139923701979895</v>
      </c>
      <c r="D11" s="133">
        <f t="shared" si="1"/>
        <v>69927</v>
      </c>
      <c r="E11" s="24">
        <f>ДифНорматив!C67</f>
        <v>0.032121448451941134</v>
      </c>
      <c r="G11" s="45">
        <f t="shared" si="0"/>
        <v>69927</v>
      </c>
      <c r="H11" s="110">
        <f t="shared" si="2"/>
        <v>0</v>
      </c>
    </row>
    <row r="12" spans="1:8" s="24" customFormat="1" ht="23.25" customHeight="1">
      <c r="A12" s="76">
        <v>4</v>
      </c>
      <c r="B12" s="77" t="s">
        <v>5</v>
      </c>
      <c r="C12" s="129">
        <f>ДифНорматив!C50</f>
        <v>0.023330254909085375</v>
      </c>
      <c r="D12" s="133">
        <f t="shared" si="1"/>
        <v>39407</v>
      </c>
      <c r="E12" s="24">
        <f>ДифНорматив!C68</f>
        <v>0.018101821057099083</v>
      </c>
      <c r="G12" s="45">
        <f t="shared" si="0"/>
        <v>39407</v>
      </c>
      <c r="H12" s="110">
        <f t="shared" si="2"/>
        <v>0</v>
      </c>
    </row>
    <row r="13" spans="1:8" ht="23.25" customHeight="1">
      <c r="A13" s="76">
        <v>5</v>
      </c>
      <c r="B13" s="78" t="s">
        <v>6</v>
      </c>
      <c r="C13" s="129">
        <f>ДифНорматив!C51</f>
        <v>0.04015193459565851</v>
      </c>
      <c r="D13" s="133">
        <f t="shared" si="1"/>
        <v>67821</v>
      </c>
      <c r="E13" s="24">
        <f>ДифНорматив!C69</f>
        <v>0.03115367311584382</v>
      </c>
      <c r="G13" s="45">
        <f t="shared" si="0"/>
        <v>67821</v>
      </c>
      <c r="H13" s="110">
        <f t="shared" si="2"/>
        <v>0</v>
      </c>
    </row>
    <row r="14" spans="1:8" s="24" customFormat="1" ht="23.25" customHeight="1">
      <c r="A14" s="127">
        <v>6</v>
      </c>
      <c r="B14" s="77" t="s">
        <v>7</v>
      </c>
      <c r="C14" s="129">
        <f>ДифНорматив!C52</f>
        <v>0.040065046613494415</v>
      </c>
      <c r="D14" s="133">
        <f t="shared" si="1"/>
        <v>67674</v>
      </c>
      <c r="E14" s="24">
        <f>ДифНорматив!C70</f>
        <v>0.031086257191273947</v>
      </c>
      <c r="G14" s="45">
        <f t="shared" si="0"/>
        <v>67674</v>
      </c>
      <c r="H14" s="110">
        <f t="shared" si="2"/>
        <v>0</v>
      </c>
    </row>
    <row r="15" spans="1:8" s="24" customFormat="1" ht="23.25" customHeight="1">
      <c r="A15" s="76">
        <v>7</v>
      </c>
      <c r="B15" s="77" t="s">
        <v>8</v>
      </c>
      <c r="C15" s="129">
        <f>ДифНорматив!C53</f>
        <v>0.028585852591505014</v>
      </c>
      <c r="D15" s="133">
        <f t="shared" si="1"/>
        <v>48284</v>
      </c>
      <c r="E15" s="24">
        <f>ДифНорматив!C71</f>
        <v>0.022179611426985553</v>
      </c>
      <c r="G15" s="45">
        <f t="shared" si="0"/>
        <v>48284</v>
      </c>
      <c r="H15" s="110">
        <f t="shared" si="2"/>
        <v>0</v>
      </c>
    </row>
    <row r="16" spans="1:8" s="24" customFormat="1" ht="23.25" customHeight="1">
      <c r="A16" s="76">
        <v>8</v>
      </c>
      <c r="B16" s="77" t="s">
        <v>9</v>
      </c>
      <c r="C16" s="129">
        <f>ДифНорматив!C54</f>
        <v>0.0309262997642234</v>
      </c>
      <c r="D16" s="133">
        <f t="shared" si="1"/>
        <v>52238</v>
      </c>
      <c r="E16" s="24">
        <f>ДифНорматив!C72</f>
        <v>0.02399555197625247</v>
      </c>
      <c r="G16" s="45">
        <f t="shared" si="0"/>
        <v>52238</v>
      </c>
      <c r="H16" s="110">
        <f t="shared" si="2"/>
        <v>0</v>
      </c>
    </row>
    <row r="17" spans="1:8" s="24" customFormat="1" ht="23.25" customHeight="1">
      <c r="A17" s="127">
        <v>9</v>
      </c>
      <c r="B17" s="77" t="s">
        <v>10</v>
      </c>
      <c r="C17" s="129">
        <f>ДифНорматив!C55</f>
        <v>0.03442882477497309</v>
      </c>
      <c r="D17" s="133">
        <f t="shared" si="1"/>
        <v>58154</v>
      </c>
      <c r="E17" s="24">
        <f>ДифНорматив!C73</f>
        <v>0.026713142557224415</v>
      </c>
      <c r="G17" s="45">
        <f t="shared" si="0"/>
        <v>58154</v>
      </c>
      <c r="H17" s="110">
        <f t="shared" si="2"/>
        <v>0</v>
      </c>
    </row>
    <row r="18" spans="1:8" s="24" customFormat="1" ht="23.25" customHeight="1">
      <c r="A18" s="76">
        <v>10</v>
      </c>
      <c r="B18" s="77" t="s">
        <v>12</v>
      </c>
      <c r="C18" s="129">
        <f>ДифНорматив!C56</f>
        <v>0.015095221351782288</v>
      </c>
      <c r="D18" s="133">
        <f t="shared" si="1"/>
        <v>25497</v>
      </c>
      <c r="E18" s="24">
        <f>ДифНорматив!C74</f>
        <v>0.01171230219267144</v>
      </c>
      <c r="G18" s="45">
        <f t="shared" si="0"/>
        <v>25497</v>
      </c>
      <c r="H18" s="110">
        <f t="shared" si="2"/>
        <v>0</v>
      </c>
    </row>
    <row r="19" spans="1:8" s="24" customFormat="1" ht="23.25" customHeight="1">
      <c r="A19" s="76">
        <v>11</v>
      </c>
      <c r="B19" s="77" t="s">
        <v>13</v>
      </c>
      <c r="C19" s="129">
        <f>ДифНорматив!C57</f>
        <v>0.03345852671739405</v>
      </c>
      <c r="D19" s="133">
        <f t="shared" si="1"/>
        <v>56515</v>
      </c>
      <c r="E19" s="24">
        <f>ДифНорматив!C75</f>
        <v>0.02596029344011054</v>
      </c>
      <c r="G19" s="45">
        <f t="shared" si="0"/>
        <v>56515</v>
      </c>
      <c r="H19" s="110">
        <f t="shared" si="2"/>
        <v>0</v>
      </c>
    </row>
    <row r="20" spans="1:8" s="24" customFormat="1" ht="23.25" customHeight="1">
      <c r="A20" s="127">
        <v>12</v>
      </c>
      <c r="B20" s="77" t="s">
        <v>26</v>
      </c>
      <c r="C20" s="129">
        <f>ДифНорматив!C58</f>
        <v>0.04142081224509985</v>
      </c>
      <c r="D20" s="133">
        <f t="shared" si="1"/>
        <v>69964</v>
      </c>
      <c r="E20" s="24">
        <f>ДифНорматив!C76</f>
        <v>0.03213818855483266</v>
      </c>
      <c r="G20" s="45">
        <f t="shared" si="0"/>
        <v>69964</v>
      </c>
      <c r="H20" s="110">
        <f t="shared" si="2"/>
        <v>0</v>
      </c>
    </row>
    <row r="21" spans="1:8" s="24" customFormat="1" ht="23.25" customHeight="1">
      <c r="A21" s="76">
        <v>13</v>
      </c>
      <c r="B21" s="77" t="s">
        <v>14</v>
      </c>
      <c r="C21" s="129">
        <f>ДифНорматив!C59</f>
        <v>0.018968585835957546</v>
      </c>
      <c r="D21" s="133">
        <f t="shared" si="1"/>
        <v>32040</v>
      </c>
      <c r="E21" s="24">
        <f>ДифНорматив!C77</f>
        <v>0.014717625154408946</v>
      </c>
      <c r="G21" s="45">
        <f t="shared" si="0"/>
        <v>32040</v>
      </c>
      <c r="H21" s="110">
        <f t="shared" si="2"/>
        <v>0</v>
      </c>
    </row>
    <row r="22" spans="1:8" s="24" customFormat="1" ht="23.25" customHeight="1">
      <c r="A22" s="76">
        <v>14</v>
      </c>
      <c r="B22" s="77" t="s">
        <v>15</v>
      </c>
      <c r="C22" s="129">
        <f>ДифНорматив!C60</f>
        <v>0.03171210762994389</v>
      </c>
      <c r="D22" s="133">
        <f t="shared" si="1"/>
        <v>53565</v>
      </c>
      <c r="E22" s="24">
        <f>ДифНорматив!C78</f>
        <v>0.024605256131906332</v>
      </c>
      <c r="G22" s="45">
        <f t="shared" si="0"/>
        <v>53565</v>
      </c>
      <c r="H22" s="110">
        <f t="shared" si="2"/>
        <v>0</v>
      </c>
    </row>
    <row r="23" spans="1:8" s="24" customFormat="1" ht="23.25" customHeight="1">
      <c r="A23" s="127">
        <v>15</v>
      </c>
      <c r="B23" s="77" t="s">
        <v>16</v>
      </c>
      <c r="C23" s="129">
        <f>ДифНорматив!C61</f>
        <v>0.01894148226494465</v>
      </c>
      <c r="D23" s="133">
        <f t="shared" si="1"/>
        <v>31994</v>
      </c>
      <c r="E23" s="24">
        <f>ДифНорматив!C79</f>
        <v>0.014696595637397848</v>
      </c>
      <c r="G23" s="45">
        <f t="shared" si="0"/>
        <v>31994</v>
      </c>
      <c r="H23" s="110">
        <f t="shared" si="2"/>
        <v>0</v>
      </c>
    </row>
    <row r="24" spans="1:8" s="24" customFormat="1" ht="23.25" customHeight="1">
      <c r="A24" s="76">
        <v>16</v>
      </c>
      <c r="B24" s="77" t="s">
        <v>17</v>
      </c>
      <c r="C24" s="129">
        <f>ДифНорматив!C62</f>
        <v>0.08670975416914321</v>
      </c>
      <c r="D24" s="133">
        <f>ROUND($D$25*C24,0)</f>
        <v>146461</v>
      </c>
      <c r="E24" s="24">
        <f>ДифНорматив!C80</f>
        <v>0.06727763841378513</v>
      </c>
      <c r="G24" s="45">
        <f t="shared" si="0"/>
        <v>146461</v>
      </c>
      <c r="H24" s="110">
        <f t="shared" si="2"/>
        <v>0</v>
      </c>
    </row>
    <row r="25" spans="1:8" s="32" customFormat="1" ht="23.25" customHeight="1">
      <c r="A25" s="79"/>
      <c r="B25" s="79" t="s">
        <v>27</v>
      </c>
      <c r="C25" s="130">
        <f>SUM(C8:C24)</f>
        <v>1</v>
      </c>
      <c r="D25" s="131">
        <f>РасчетРайону!C4</f>
        <v>1689100</v>
      </c>
      <c r="E25" s="32">
        <f>SUM(E8:E24)</f>
        <v>0.7758946967205999</v>
      </c>
      <c r="G25" s="45">
        <f>SUM(G8:G24)</f>
        <v>1689100</v>
      </c>
      <c r="H25" s="110">
        <f t="shared" si="2"/>
        <v>0</v>
      </c>
    </row>
    <row r="26" spans="1:4" s="32" customFormat="1" ht="18" customHeight="1">
      <c r="A26" s="186"/>
      <c r="B26" s="186"/>
      <c r="C26" s="186"/>
      <c r="D26" s="187"/>
    </row>
    <row r="27" ht="18" customHeight="1">
      <c r="D27" s="275">
        <f>SUM(D8:D24)</f>
        <v>1689100</v>
      </c>
    </row>
    <row r="28" ht="18" customHeight="1">
      <c r="D28" s="178"/>
    </row>
    <row r="29" ht="18" customHeight="1">
      <c r="D29" s="135">
        <f>D25-D8</f>
        <v>902281</v>
      </c>
    </row>
  </sheetData>
  <sheetProtection/>
  <mergeCells count="2">
    <mergeCell ref="A1:D1"/>
    <mergeCell ref="A2:D5"/>
  </mergeCells>
  <printOptions horizontalCentered="1"/>
  <pageMargins left="0" right="0" top="0.6692913385826772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P89"/>
  <sheetViews>
    <sheetView view="pageBreakPreview" zoomScale="150" zoomScaleNormal="150" zoomScaleSheetLayoutView="150" zoomScalePageLayoutView="0" workbookViewId="0" topLeftCell="A4">
      <selection activeCell="G17" sqref="G17"/>
    </sheetView>
  </sheetViews>
  <sheetFormatPr defaultColWidth="9.00390625" defaultRowHeight="12.75"/>
  <cols>
    <col min="1" max="1" width="4.00390625" style="1" customWidth="1"/>
    <col min="2" max="2" width="16.625" style="1" customWidth="1"/>
    <col min="3" max="3" width="7.625" style="1" customWidth="1"/>
    <col min="4" max="5" width="10.625" style="1" customWidth="1"/>
    <col min="6" max="6" width="6.00390625" style="1" customWidth="1"/>
    <col min="7" max="7" width="6.125" style="1" customWidth="1"/>
    <col min="8" max="8" width="11.125" style="1" customWidth="1"/>
    <col min="9" max="10" width="9.75390625" style="1" customWidth="1"/>
    <col min="11" max="11" width="6.875" style="1" customWidth="1"/>
    <col min="12" max="14" width="6.00390625" style="1" customWidth="1"/>
    <col min="15" max="15" width="13.00390625" style="1" bestFit="1" customWidth="1"/>
    <col min="16" max="16" width="11.25390625" style="1" bestFit="1" customWidth="1"/>
    <col min="17" max="16384" width="9.125" style="1" customWidth="1"/>
  </cols>
  <sheetData>
    <row r="1" spans="3:14" ht="12.75" customHeight="1">
      <c r="C1" s="212"/>
      <c r="D1" s="212"/>
      <c r="E1" s="212"/>
      <c r="F1" s="212"/>
      <c r="G1" s="212"/>
      <c r="H1" s="213"/>
      <c r="I1" s="213"/>
      <c r="J1" s="459"/>
      <c r="K1" s="459"/>
      <c r="L1" s="459"/>
      <c r="M1" s="459"/>
      <c r="N1" s="459"/>
    </row>
    <row r="2" spans="2:14" ht="11.25" customHeight="1">
      <c r="B2" s="212"/>
      <c r="C2" s="212"/>
      <c r="D2" s="212"/>
      <c r="E2" s="212"/>
      <c r="F2" s="212"/>
      <c r="G2" s="212"/>
      <c r="H2" s="213"/>
      <c r="I2" s="213"/>
      <c r="J2" s="459"/>
      <c r="K2" s="459"/>
      <c r="L2" s="459"/>
      <c r="M2" s="459"/>
      <c r="N2" s="459"/>
    </row>
    <row r="3" spans="8:14" ht="11.25">
      <c r="H3" s="460"/>
      <c r="I3" s="460"/>
      <c r="J3" s="460"/>
      <c r="K3" s="460"/>
      <c r="L3" s="460"/>
      <c r="M3" s="460"/>
      <c r="N3" s="460"/>
    </row>
    <row r="4" spans="7:14" ht="11.25">
      <c r="G4" s="174"/>
      <c r="H4" s="214"/>
      <c r="I4" s="214"/>
      <c r="J4" s="214"/>
      <c r="K4" s="214"/>
      <c r="L4" s="214"/>
      <c r="M4" s="214"/>
      <c r="N4" s="214"/>
    </row>
    <row r="5" spans="2:14" ht="23.25" customHeight="1">
      <c r="B5" s="461" t="s">
        <v>83</v>
      </c>
      <c r="C5" s="461"/>
      <c r="D5" s="461"/>
      <c r="E5" s="461"/>
      <c r="F5" s="461"/>
      <c r="G5" s="461"/>
      <c r="H5" s="461"/>
      <c r="I5" s="461"/>
      <c r="J5" s="461"/>
      <c r="K5" s="461"/>
      <c r="L5" s="461"/>
      <c r="M5" s="461"/>
      <c r="N5" s="461"/>
    </row>
    <row r="6" spans="1:14" ht="11.25">
      <c r="A6" s="467" t="s">
        <v>18</v>
      </c>
      <c r="B6" s="467" t="s">
        <v>2</v>
      </c>
      <c r="C6" s="462" t="s">
        <v>19</v>
      </c>
      <c r="D6" s="462"/>
      <c r="E6" s="462"/>
      <c r="F6" s="462"/>
      <c r="G6" s="462" t="s">
        <v>20</v>
      </c>
      <c r="H6" s="462"/>
      <c r="I6" s="462"/>
      <c r="J6" s="462"/>
      <c r="K6" s="463" t="s">
        <v>21</v>
      </c>
      <c r="L6" s="463"/>
      <c r="M6" s="463"/>
      <c r="N6" s="463"/>
    </row>
    <row r="7" spans="1:14" ht="31.5" customHeight="1">
      <c r="A7" s="467"/>
      <c r="B7" s="467"/>
      <c r="C7" s="140"/>
      <c r="D7" s="462" t="s">
        <v>22</v>
      </c>
      <c r="E7" s="462"/>
      <c r="F7" s="462"/>
      <c r="G7" s="140"/>
      <c r="H7" s="462" t="s">
        <v>22</v>
      </c>
      <c r="I7" s="462"/>
      <c r="J7" s="462"/>
      <c r="K7" s="462" t="s">
        <v>22</v>
      </c>
      <c r="L7" s="462"/>
      <c r="M7" s="462"/>
      <c r="N7" s="141"/>
    </row>
    <row r="8" spans="1:14" ht="10.5" customHeight="1">
      <c r="A8" s="142"/>
      <c r="B8" s="142"/>
      <c r="C8" s="143"/>
      <c r="D8" s="143" t="s">
        <v>23</v>
      </c>
      <c r="E8" s="143" t="s">
        <v>24</v>
      </c>
      <c r="F8" s="143" t="s">
        <v>25</v>
      </c>
      <c r="G8" s="143"/>
      <c r="H8" s="143" t="s">
        <v>23</v>
      </c>
      <c r="I8" s="143" t="s">
        <v>24</v>
      </c>
      <c r="J8" s="143" t="s">
        <v>25</v>
      </c>
      <c r="K8" s="143" t="s">
        <v>23</v>
      </c>
      <c r="L8" s="143" t="s">
        <v>24</v>
      </c>
      <c r="M8" s="143" t="s">
        <v>25</v>
      </c>
      <c r="N8" s="143"/>
    </row>
    <row r="9" spans="1:14" s="2" customFormat="1" ht="10.5" customHeight="1">
      <c r="A9" s="71">
        <v>1</v>
      </c>
      <c r="B9" s="6" t="s">
        <v>11</v>
      </c>
      <c r="C9" s="216">
        <v>81.5</v>
      </c>
      <c r="D9" s="216">
        <v>18.1</v>
      </c>
      <c r="E9" s="216">
        <f>69.4-D9</f>
        <v>51.300000000000004</v>
      </c>
      <c r="F9" s="216">
        <f>C9-D9-E9</f>
        <v>12.099999999999994</v>
      </c>
      <c r="G9" s="208">
        <f>H9+I9+J9</f>
        <v>28.3</v>
      </c>
      <c r="H9" s="222">
        <v>2</v>
      </c>
      <c r="I9" s="222">
        <v>0</v>
      </c>
      <c r="J9" s="222">
        <v>26.3</v>
      </c>
      <c r="K9" s="209">
        <f>H9+D9</f>
        <v>20.1</v>
      </c>
      <c r="L9" s="210">
        <f aca="true" t="shared" si="0" ref="K9:M24">I9+E9</f>
        <v>51.300000000000004</v>
      </c>
      <c r="M9" s="210">
        <f t="shared" si="0"/>
        <v>38.39999999999999</v>
      </c>
      <c r="N9" s="211">
        <f>K9+L9+M9</f>
        <v>109.8</v>
      </c>
    </row>
    <row r="10" spans="1:14" s="2" customFormat="1" ht="10.5" customHeight="1">
      <c r="A10" s="71">
        <v>2</v>
      </c>
      <c r="B10" s="6" t="s">
        <v>3</v>
      </c>
      <c r="C10" s="217">
        <v>31.2</v>
      </c>
      <c r="D10" s="217">
        <v>1.8</v>
      </c>
      <c r="E10" s="218">
        <f>29.05-D10</f>
        <v>27.25</v>
      </c>
      <c r="F10" s="218">
        <f aca="true" t="shared" si="1" ref="F10:F24">C10-D10-E10</f>
        <v>2.1499999999999986</v>
      </c>
      <c r="G10" s="208">
        <f aca="true" t="shared" si="2" ref="G10:G24">H10+I10+J10</f>
        <v>2.0999999999999996</v>
      </c>
      <c r="H10" s="222">
        <v>0</v>
      </c>
      <c r="I10" s="222">
        <v>1.4</v>
      </c>
      <c r="J10" s="222">
        <v>0.7</v>
      </c>
      <c r="K10" s="220">
        <f t="shared" si="0"/>
        <v>1.8</v>
      </c>
      <c r="L10" s="221">
        <f t="shared" si="0"/>
        <v>28.65</v>
      </c>
      <c r="M10" s="221">
        <f t="shared" si="0"/>
        <v>2.8499999999999988</v>
      </c>
      <c r="N10" s="219">
        <f aca="true" t="shared" si="3" ref="N10:N24">K10+L10+M10</f>
        <v>33.3</v>
      </c>
    </row>
    <row r="11" spans="1:14" s="2" customFormat="1" ht="10.5" customHeight="1">
      <c r="A11" s="71">
        <v>3</v>
      </c>
      <c r="B11" s="6" t="s">
        <v>4</v>
      </c>
      <c r="C11" s="217">
        <v>26.7</v>
      </c>
      <c r="D11" s="217">
        <v>1</v>
      </c>
      <c r="E11" s="217">
        <f>24.8-D11</f>
        <v>23.8</v>
      </c>
      <c r="F11" s="217">
        <f t="shared" si="1"/>
        <v>1.8999999999999986</v>
      </c>
      <c r="G11" s="208">
        <f t="shared" si="2"/>
        <v>21.5</v>
      </c>
      <c r="H11" s="222">
        <v>0</v>
      </c>
      <c r="I11" s="222">
        <v>19</v>
      </c>
      <c r="J11" s="222">
        <v>2.5</v>
      </c>
      <c r="K11" s="209">
        <f t="shared" si="0"/>
        <v>1</v>
      </c>
      <c r="L11" s="210">
        <f t="shared" si="0"/>
        <v>42.8</v>
      </c>
      <c r="M11" s="210">
        <f t="shared" si="0"/>
        <v>4.399999999999999</v>
      </c>
      <c r="N11" s="211">
        <f t="shared" si="3"/>
        <v>48.199999999999996</v>
      </c>
    </row>
    <row r="12" spans="1:14" s="2" customFormat="1" ht="10.5" customHeight="1">
      <c r="A12" s="71">
        <v>4</v>
      </c>
      <c r="B12" s="6" t="s">
        <v>5</v>
      </c>
      <c r="C12" s="217">
        <v>23.9</v>
      </c>
      <c r="D12" s="217">
        <v>1.6</v>
      </c>
      <c r="E12" s="217">
        <f>5.9-D12</f>
        <v>4.300000000000001</v>
      </c>
      <c r="F12" s="217">
        <f t="shared" si="1"/>
        <v>17.999999999999996</v>
      </c>
      <c r="G12" s="208">
        <f t="shared" si="2"/>
        <v>9.9</v>
      </c>
      <c r="H12" s="222">
        <v>0</v>
      </c>
      <c r="I12" s="222">
        <v>0.5</v>
      </c>
      <c r="J12" s="222">
        <v>9.4</v>
      </c>
      <c r="K12" s="209">
        <f t="shared" si="0"/>
        <v>1.6</v>
      </c>
      <c r="L12" s="210">
        <f t="shared" si="0"/>
        <v>4.800000000000001</v>
      </c>
      <c r="M12" s="210">
        <f t="shared" si="0"/>
        <v>27.4</v>
      </c>
      <c r="N12" s="211">
        <f t="shared" si="3"/>
        <v>33.8</v>
      </c>
    </row>
    <row r="13" spans="1:14" ht="10.5" customHeight="1">
      <c r="A13" s="71">
        <v>5</v>
      </c>
      <c r="B13" s="6" t="s">
        <v>6</v>
      </c>
      <c r="C13" s="217">
        <v>31.5</v>
      </c>
      <c r="D13" s="217">
        <v>3.7</v>
      </c>
      <c r="E13" s="217">
        <f>16.9-D13</f>
        <v>13.2</v>
      </c>
      <c r="F13" s="217">
        <f t="shared" si="1"/>
        <v>14.600000000000001</v>
      </c>
      <c r="G13" s="208">
        <f t="shared" si="2"/>
        <v>75.5</v>
      </c>
      <c r="H13" s="222">
        <v>0</v>
      </c>
      <c r="I13" s="222">
        <v>5.2</v>
      </c>
      <c r="J13" s="222">
        <v>70.3</v>
      </c>
      <c r="K13" s="209">
        <f t="shared" si="0"/>
        <v>3.7</v>
      </c>
      <c r="L13" s="210">
        <f t="shared" si="0"/>
        <v>18.4</v>
      </c>
      <c r="M13" s="210">
        <f t="shared" si="0"/>
        <v>84.9</v>
      </c>
      <c r="N13" s="211">
        <f t="shared" si="3"/>
        <v>107</v>
      </c>
    </row>
    <row r="14" spans="1:14" s="2" customFormat="1" ht="10.5" customHeight="1">
      <c r="A14" s="71">
        <v>6</v>
      </c>
      <c r="B14" s="6" t="s">
        <v>7</v>
      </c>
      <c r="C14" s="217">
        <v>39.9</v>
      </c>
      <c r="D14" s="217">
        <v>3.3</v>
      </c>
      <c r="E14" s="217">
        <f>10.5-D14</f>
        <v>7.2</v>
      </c>
      <c r="F14" s="217">
        <f t="shared" si="1"/>
        <v>29.400000000000002</v>
      </c>
      <c r="G14" s="208">
        <f t="shared" si="2"/>
        <v>0</v>
      </c>
      <c r="H14" s="222">
        <v>0</v>
      </c>
      <c r="I14" s="222">
        <v>0</v>
      </c>
      <c r="J14" s="222">
        <v>0</v>
      </c>
      <c r="K14" s="209">
        <f t="shared" si="0"/>
        <v>3.3</v>
      </c>
      <c r="L14" s="210">
        <f t="shared" si="0"/>
        <v>7.2</v>
      </c>
      <c r="M14" s="210">
        <f t="shared" si="0"/>
        <v>29.400000000000002</v>
      </c>
      <c r="N14" s="211">
        <f t="shared" si="3"/>
        <v>39.900000000000006</v>
      </c>
    </row>
    <row r="15" spans="1:14" s="2" customFormat="1" ht="10.5" customHeight="1">
      <c r="A15" s="71">
        <v>7</v>
      </c>
      <c r="B15" s="6" t="s">
        <v>8</v>
      </c>
      <c r="C15" s="217">
        <v>27.6</v>
      </c>
      <c r="D15" s="217">
        <v>0</v>
      </c>
      <c r="E15" s="217">
        <f>10.5-D15</f>
        <v>10.5</v>
      </c>
      <c r="F15" s="217">
        <f t="shared" si="1"/>
        <v>17.1</v>
      </c>
      <c r="G15" s="208">
        <f t="shared" si="2"/>
        <v>20</v>
      </c>
      <c r="H15" s="222">
        <v>0</v>
      </c>
      <c r="I15" s="222">
        <v>2</v>
      </c>
      <c r="J15" s="222">
        <v>18</v>
      </c>
      <c r="K15" s="209">
        <f t="shared" si="0"/>
        <v>0</v>
      </c>
      <c r="L15" s="210">
        <f t="shared" si="0"/>
        <v>12.5</v>
      </c>
      <c r="M15" s="210">
        <f t="shared" si="0"/>
        <v>35.1</v>
      </c>
      <c r="N15" s="211">
        <f t="shared" si="3"/>
        <v>47.6</v>
      </c>
    </row>
    <row r="16" spans="1:14" s="2" customFormat="1" ht="10.5" customHeight="1">
      <c r="A16" s="71">
        <v>8</v>
      </c>
      <c r="B16" s="6" t="s">
        <v>9</v>
      </c>
      <c r="C16" s="217">
        <v>20.5</v>
      </c>
      <c r="D16" s="217">
        <v>5</v>
      </c>
      <c r="E16" s="217">
        <f>13.9-D16</f>
        <v>8.9</v>
      </c>
      <c r="F16" s="217">
        <f t="shared" si="1"/>
        <v>6.6</v>
      </c>
      <c r="G16" s="208">
        <f t="shared" si="2"/>
        <v>13.1</v>
      </c>
      <c r="H16" s="222">
        <v>0</v>
      </c>
      <c r="I16" s="222">
        <v>0</v>
      </c>
      <c r="J16" s="222">
        <v>13.1</v>
      </c>
      <c r="K16" s="209">
        <f t="shared" si="0"/>
        <v>5</v>
      </c>
      <c r="L16" s="210">
        <f t="shared" si="0"/>
        <v>8.9</v>
      </c>
      <c r="M16" s="210">
        <f t="shared" si="0"/>
        <v>19.7</v>
      </c>
      <c r="N16" s="211">
        <f t="shared" si="3"/>
        <v>33.6</v>
      </c>
    </row>
    <row r="17" spans="1:14" s="2" customFormat="1" ht="10.5" customHeight="1">
      <c r="A17" s="71">
        <v>9</v>
      </c>
      <c r="B17" s="6" t="s">
        <v>10</v>
      </c>
      <c r="C17" s="217">
        <v>19.7</v>
      </c>
      <c r="D17" s="217">
        <v>3.8</v>
      </c>
      <c r="E17" s="217">
        <f>19.7-D17</f>
        <v>15.899999999999999</v>
      </c>
      <c r="F17" s="217">
        <f t="shared" si="1"/>
        <v>0</v>
      </c>
      <c r="G17" s="208">
        <f t="shared" si="2"/>
        <v>36.5</v>
      </c>
      <c r="H17" s="222">
        <v>0.6</v>
      </c>
      <c r="I17" s="215">
        <f>21.1-0.05</f>
        <v>21.05</v>
      </c>
      <c r="J17" s="222">
        <f>14.85</f>
        <v>14.85</v>
      </c>
      <c r="K17" s="209">
        <f t="shared" si="0"/>
        <v>4.3999999999999995</v>
      </c>
      <c r="L17" s="210">
        <f t="shared" si="0"/>
        <v>36.95</v>
      </c>
      <c r="M17" s="210">
        <f t="shared" si="0"/>
        <v>14.85</v>
      </c>
      <c r="N17" s="211">
        <f t="shared" si="3"/>
        <v>56.2</v>
      </c>
    </row>
    <row r="18" spans="1:14" s="2" customFormat="1" ht="10.5" customHeight="1">
      <c r="A18" s="71">
        <v>10</v>
      </c>
      <c r="B18" s="6" t="s">
        <v>12</v>
      </c>
      <c r="C18" s="217">
        <v>11.5</v>
      </c>
      <c r="D18" s="217">
        <v>0.3</v>
      </c>
      <c r="E18" s="217">
        <f>7.7-D18</f>
        <v>7.4</v>
      </c>
      <c r="F18" s="217">
        <f t="shared" si="1"/>
        <v>3.799999999999999</v>
      </c>
      <c r="G18" s="208">
        <f t="shared" si="2"/>
        <v>1.4</v>
      </c>
      <c r="H18" s="222">
        <v>0</v>
      </c>
      <c r="I18" s="222">
        <v>0</v>
      </c>
      <c r="J18" s="222">
        <v>1.4</v>
      </c>
      <c r="K18" s="209">
        <f t="shared" si="0"/>
        <v>0.3</v>
      </c>
      <c r="L18" s="210">
        <f t="shared" si="0"/>
        <v>7.4</v>
      </c>
      <c r="M18" s="210">
        <f t="shared" si="0"/>
        <v>5.199999999999999</v>
      </c>
      <c r="N18" s="211">
        <f t="shared" si="3"/>
        <v>12.899999999999999</v>
      </c>
    </row>
    <row r="19" spans="1:14" s="2" customFormat="1" ht="10.5" customHeight="1">
      <c r="A19" s="71">
        <v>11</v>
      </c>
      <c r="B19" s="6" t="s">
        <v>13</v>
      </c>
      <c r="C19" s="217">
        <v>21.9</v>
      </c>
      <c r="D19" s="217">
        <v>1.1</v>
      </c>
      <c r="E19" s="217">
        <f>19.5-D19</f>
        <v>18.4</v>
      </c>
      <c r="F19" s="217">
        <f t="shared" si="1"/>
        <v>2.3999999999999986</v>
      </c>
      <c r="G19" s="208">
        <f t="shared" si="2"/>
        <v>17</v>
      </c>
      <c r="H19" s="222">
        <v>0</v>
      </c>
      <c r="I19" s="222">
        <v>0</v>
      </c>
      <c r="J19" s="222">
        <v>17</v>
      </c>
      <c r="K19" s="209">
        <f t="shared" si="0"/>
        <v>1.1</v>
      </c>
      <c r="L19" s="210">
        <f t="shared" si="0"/>
        <v>18.4</v>
      </c>
      <c r="M19" s="210">
        <f t="shared" si="0"/>
        <v>19.4</v>
      </c>
      <c r="N19" s="211">
        <f t="shared" si="3"/>
        <v>38.9</v>
      </c>
    </row>
    <row r="20" spans="1:14" s="2" customFormat="1" ht="10.5" customHeight="1">
      <c r="A20" s="71">
        <v>12</v>
      </c>
      <c r="B20" s="6" t="s">
        <v>26</v>
      </c>
      <c r="C20" s="217">
        <v>36.9</v>
      </c>
      <c r="D20" s="217">
        <v>1.3</v>
      </c>
      <c r="E20" s="217">
        <f>16.4-D20</f>
        <v>15.099999999999998</v>
      </c>
      <c r="F20" s="217">
        <f t="shared" si="1"/>
        <v>20.500000000000004</v>
      </c>
      <c r="G20" s="208">
        <f t="shared" si="2"/>
        <v>68.9</v>
      </c>
      <c r="H20" s="222">
        <v>0</v>
      </c>
      <c r="I20" s="222">
        <v>8.5</v>
      </c>
      <c r="J20" s="222">
        <v>60.4</v>
      </c>
      <c r="K20" s="209">
        <f t="shared" si="0"/>
        <v>1.3</v>
      </c>
      <c r="L20" s="210">
        <f t="shared" si="0"/>
        <v>23.599999999999998</v>
      </c>
      <c r="M20" s="210">
        <f t="shared" si="0"/>
        <v>80.9</v>
      </c>
      <c r="N20" s="211">
        <f t="shared" si="3"/>
        <v>105.80000000000001</v>
      </c>
    </row>
    <row r="21" spans="1:14" s="2" customFormat="1" ht="10.5" customHeight="1">
      <c r="A21" s="71">
        <v>13</v>
      </c>
      <c r="B21" s="6" t="s">
        <v>14</v>
      </c>
      <c r="C21" s="217">
        <v>12</v>
      </c>
      <c r="D21" s="217">
        <v>0</v>
      </c>
      <c r="E21" s="217">
        <f>12-D21</f>
        <v>12</v>
      </c>
      <c r="F21" s="217">
        <f t="shared" si="1"/>
        <v>0</v>
      </c>
      <c r="G21" s="208">
        <f t="shared" si="2"/>
        <v>9</v>
      </c>
      <c r="H21" s="222">
        <v>0</v>
      </c>
      <c r="I21" s="222">
        <v>3</v>
      </c>
      <c r="J21" s="222">
        <v>6</v>
      </c>
      <c r="K21" s="209">
        <f t="shared" si="0"/>
        <v>0</v>
      </c>
      <c r="L21" s="210">
        <f t="shared" si="0"/>
        <v>15</v>
      </c>
      <c r="M21" s="210">
        <f t="shared" si="0"/>
        <v>6</v>
      </c>
      <c r="N21" s="211">
        <f t="shared" si="3"/>
        <v>21</v>
      </c>
    </row>
    <row r="22" spans="1:14" s="2" customFormat="1" ht="10.5" customHeight="1">
      <c r="A22" s="71">
        <v>14</v>
      </c>
      <c r="B22" s="6" t="s">
        <v>15</v>
      </c>
      <c r="C22" s="217">
        <v>22.4</v>
      </c>
      <c r="D22" s="217">
        <v>0.1</v>
      </c>
      <c r="E22" s="217">
        <f>18.1-D22</f>
        <v>18</v>
      </c>
      <c r="F22" s="217">
        <f t="shared" si="1"/>
        <v>4.299999999999997</v>
      </c>
      <c r="G22" s="208">
        <f t="shared" si="2"/>
        <v>32.5</v>
      </c>
      <c r="H22" s="222">
        <v>0</v>
      </c>
      <c r="I22" s="222">
        <v>21</v>
      </c>
      <c r="J22" s="222">
        <v>11.5</v>
      </c>
      <c r="K22" s="209">
        <f t="shared" si="0"/>
        <v>0.1</v>
      </c>
      <c r="L22" s="210">
        <f t="shared" si="0"/>
        <v>39</v>
      </c>
      <c r="M22" s="210">
        <f t="shared" si="0"/>
        <v>15.799999999999997</v>
      </c>
      <c r="N22" s="211">
        <f t="shared" si="3"/>
        <v>54.9</v>
      </c>
    </row>
    <row r="23" spans="1:14" s="2" customFormat="1" ht="10.5" customHeight="1">
      <c r="A23" s="71">
        <v>15</v>
      </c>
      <c r="B23" s="6" t="s">
        <v>16</v>
      </c>
      <c r="C23" s="217">
        <v>15.6</v>
      </c>
      <c r="D23" s="217">
        <v>0</v>
      </c>
      <c r="E23" s="217">
        <f>9.1-D23</f>
        <v>9.1</v>
      </c>
      <c r="F23" s="217">
        <f t="shared" si="1"/>
        <v>6.5</v>
      </c>
      <c r="G23" s="208">
        <f t="shared" si="2"/>
        <v>2.5</v>
      </c>
      <c r="H23" s="222">
        <v>0</v>
      </c>
      <c r="I23" s="222">
        <v>0</v>
      </c>
      <c r="J23" s="222">
        <v>2.5</v>
      </c>
      <c r="K23" s="209">
        <f t="shared" si="0"/>
        <v>0</v>
      </c>
      <c r="L23" s="210">
        <f t="shared" si="0"/>
        <v>9.1</v>
      </c>
      <c r="M23" s="210">
        <f t="shared" si="0"/>
        <v>9</v>
      </c>
      <c r="N23" s="211">
        <f t="shared" si="3"/>
        <v>18.1</v>
      </c>
    </row>
    <row r="24" spans="1:14" s="2" customFormat="1" ht="10.5" customHeight="1">
      <c r="A24" s="71">
        <v>16</v>
      </c>
      <c r="B24" s="6" t="s">
        <v>17</v>
      </c>
      <c r="C24" s="217">
        <v>54.8</v>
      </c>
      <c r="D24" s="217">
        <v>12.5</v>
      </c>
      <c r="E24" s="217">
        <f>42.6-D24</f>
        <v>30.1</v>
      </c>
      <c r="F24" s="217">
        <f t="shared" si="1"/>
        <v>12.199999999999996</v>
      </c>
      <c r="G24" s="208">
        <f t="shared" si="2"/>
        <v>19.5</v>
      </c>
      <c r="H24" s="222">
        <v>0</v>
      </c>
      <c r="I24" s="222">
        <v>5.5</v>
      </c>
      <c r="J24" s="222">
        <v>14</v>
      </c>
      <c r="K24" s="209">
        <f t="shared" si="0"/>
        <v>12.5</v>
      </c>
      <c r="L24" s="210">
        <f t="shared" si="0"/>
        <v>35.6</v>
      </c>
      <c r="M24" s="210">
        <f t="shared" si="0"/>
        <v>26.199999999999996</v>
      </c>
      <c r="N24" s="211">
        <f t="shared" si="3"/>
        <v>74.3</v>
      </c>
    </row>
    <row r="25" spans="1:14" s="3" customFormat="1" ht="10.5" customHeight="1">
      <c r="A25" s="5"/>
      <c r="B25" s="5" t="s">
        <v>27</v>
      </c>
      <c r="C25" s="224">
        <f>D25+E25+F25</f>
        <v>477.6</v>
      </c>
      <c r="D25" s="225">
        <f>SUM(D9:D24)</f>
        <v>53.599999999999994</v>
      </c>
      <c r="E25" s="225">
        <f>SUM(E9:E24)</f>
        <v>272.45000000000005</v>
      </c>
      <c r="F25" s="225">
        <f>SUM(F9:F24)</f>
        <v>151.54999999999995</v>
      </c>
      <c r="G25" s="231">
        <f>SUM(G9:G24)</f>
        <v>357.70000000000005</v>
      </c>
      <c r="H25" s="225">
        <f aca="true" t="shared" si="4" ref="H25:N25">SUM(H9:H24)</f>
        <v>2.6</v>
      </c>
      <c r="I25" s="225">
        <f>SUM(I9:I24)</f>
        <v>87.15</v>
      </c>
      <c r="J25" s="230">
        <f>SUM(J9:J24)</f>
        <v>267.95</v>
      </c>
      <c r="K25" s="219">
        <f t="shared" si="4"/>
        <v>56.199999999999996</v>
      </c>
      <c r="L25" s="219">
        <f t="shared" si="4"/>
        <v>359.6000000000001</v>
      </c>
      <c r="M25" s="219">
        <f t="shared" si="4"/>
        <v>419.5</v>
      </c>
      <c r="N25" s="219">
        <f t="shared" si="4"/>
        <v>835.3</v>
      </c>
    </row>
    <row r="26" spans="1:14" s="3" customFormat="1" ht="11.25" customHeight="1">
      <c r="A26" s="466"/>
      <c r="B26" s="466"/>
      <c r="C26" s="466"/>
      <c r="D26" s="466"/>
      <c r="E26" s="466"/>
      <c r="F26" s="466"/>
      <c r="G26" s="466"/>
      <c r="H26" s="466"/>
      <c r="I26" s="466"/>
      <c r="J26" s="466"/>
      <c r="K26" s="466"/>
      <c r="L26" s="466"/>
      <c r="M26" s="466"/>
      <c r="N26" s="466"/>
    </row>
    <row r="27" spans="1:14" ht="14.25" customHeight="1">
      <c r="A27" s="4"/>
      <c r="B27" s="4"/>
      <c r="C27" s="140"/>
      <c r="D27" s="223">
        <v>1</v>
      </c>
      <c r="E27" s="223">
        <v>0.6462</v>
      </c>
      <c r="F27" s="223">
        <v>0.2866</v>
      </c>
      <c r="G27" s="140"/>
      <c r="H27" s="223">
        <v>1</v>
      </c>
      <c r="I27" s="223">
        <f>E27</f>
        <v>0.6462</v>
      </c>
      <c r="J27" s="223">
        <f>F27</f>
        <v>0.2866</v>
      </c>
      <c r="K27" s="140"/>
      <c r="L27" s="140">
        <v>1</v>
      </c>
      <c r="M27" s="140">
        <f>I27</f>
        <v>0.6462</v>
      </c>
      <c r="N27" s="140">
        <f>J27</f>
        <v>0.2866</v>
      </c>
    </row>
    <row r="28" spans="1:14" ht="9.75" customHeight="1">
      <c r="A28" s="70">
        <v>1</v>
      </c>
      <c r="B28" s="7" t="s">
        <v>11</v>
      </c>
      <c r="C28" s="179">
        <f>D28+E28+F28</f>
        <v>54.71792000000001</v>
      </c>
      <c r="D28" s="179">
        <f>D9*$D$27</f>
        <v>18.1</v>
      </c>
      <c r="E28" s="179">
        <f>E9*$E$27</f>
        <v>33.15006</v>
      </c>
      <c r="F28" s="179">
        <f>F9*$F$27</f>
        <v>3.4678599999999986</v>
      </c>
      <c r="G28" s="179">
        <f>H28+I28+J28</f>
        <v>9.537580000000002</v>
      </c>
      <c r="H28" s="179">
        <f>H9*$H$27</f>
        <v>2</v>
      </c>
      <c r="I28" s="179">
        <f>I9*$I$27</f>
        <v>0</v>
      </c>
      <c r="J28" s="179">
        <f>J9*$J$27</f>
        <v>7.537580000000001</v>
      </c>
      <c r="K28" s="179">
        <f>L28+M28+N28</f>
        <v>64.25550000000001</v>
      </c>
      <c r="L28" s="179">
        <f>D28+H28</f>
        <v>20.1</v>
      </c>
      <c r="M28" s="179">
        <f aca="true" t="shared" si="5" ref="M28:N43">E28+I28</f>
        <v>33.15006</v>
      </c>
      <c r="N28" s="179">
        <f t="shared" si="5"/>
        <v>11.00544</v>
      </c>
    </row>
    <row r="29" spans="1:14" ht="9.75" customHeight="1">
      <c r="A29" s="71">
        <v>2</v>
      </c>
      <c r="B29" s="6" t="s">
        <v>3</v>
      </c>
      <c r="C29" s="179">
        <f aca="true" t="shared" si="6" ref="C29:C43">D29+E29+F29</f>
        <v>20.02514</v>
      </c>
      <c r="D29" s="179">
        <f aca="true" t="shared" si="7" ref="D29:D43">D10*$D$27</f>
        <v>1.8</v>
      </c>
      <c r="E29" s="179">
        <f aca="true" t="shared" si="8" ref="E29:E43">E10*$E$27</f>
        <v>17.60895</v>
      </c>
      <c r="F29" s="179">
        <f aca="true" t="shared" si="9" ref="F29:F43">F10*$F$27</f>
        <v>0.6161899999999997</v>
      </c>
      <c r="G29" s="179">
        <f aca="true" t="shared" si="10" ref="G29:G43">H29+I29+J29</f>
        <v>1.1053</v>
      </c>
      <c r="H29" s="179">
        <f aca="true" t="shared" si="11" ref="H29:H43">H10*$H$27</f>
        <v>0</v>
      </c>
      <c r="I29" s="179">
        <f aca="true" t="shared" si="12" ref="I29:I43">I10*$I$27</f>
        <v>0.9046799999999999</v>
      </c>
      <c r="J29" s="179">
        <f aca="true" t="shared" si="13" ref="J29:J43">J10*$J$27</f>
        <v>0.20062</v>
      </c>
      <c r="K29" s="179">
        <f aca="true" t="shared" si="14" ref="K29:K43">L29+M29+N29</f>
        <v>21.13044</v>
      </c>
      <c r="L29" s="179">
        <f aca="true" t="shared" si="15" ref="L29:L43">D29+H29</f>
        <v>1.8</v>
      </c>
      <c r="M29" s="179">
        <f t="shared" si="5"/>
        <v>18.51363</v>
      </c>
      <c r="N29" s="179">
        <f t="shared" si="5"/>
        <v>0.8168099999999997</v>
      </c>
    </row>
    <row r="30" spans="1:14" ht="9.75" customHeight="1">
      <c r="A30" s="71">
        <v>3</v>
      </c>
      <c r="B30" s="6" t="s">
        <v>4</v>
      </c>
      <c r="C30" s="179">
        <f t="shared" si="6"/>
        <v>16.924099999999996</v>
      </c>
      <c r="D30" s="179">
        <f t="shared" si="7"/>
        <v>1</v>
      </c>
      <c r="E30" s="179">
        <f t="shared" si="8"/>
        <v>15.37956</v>
      </c>
      <c r="F30" s="179">
        <f t="shared" si="9"/>
        <v>0.5445399999999996</v>
      </c>
      <c r="G30" s="179">
        <f t="shared" si="10"/>
        <v>12.994299999999999</v>
      </c>
      <c r="H30" s="179">
        <f t="shared" si="11"/>
        <v>0</v>
      </c>
      <c r="I30" s="179">
        <f t="shared" si="12"/>
        <v>12.2778</v>
      </c>
      <c r="J30" s="179">
        <f t="shared" si="13"/>
        <v>0.7165</v>
      </c>
      <c r="K30" s="179">
        <f t="shared" si="14"/>
        <v>29.9184</v>
      </c>
      <c r="L30" s="179">
        <f t="shared" si="15"/>
        <v>1</v>
      </c>
      <c r="M30" s="179">
        <f t="shared" si="5"/>
        <v>27.657359999999997</v>
      </c>
      <c r="N30" s="179">
        <f t="shared" si="5"/>
        <v>1.2610399999999995</v>
      </c>
    </row>
    <row r="31" spans="1:14" ht="9.75" customHeight="1">
      <c r="A31" s="71">
        <v>4</v>
      </c>
      <c r="B31" s="6" t="s">
        <v>5</v>
      </c>
      <c r="C31" s="179">
        <f t="shared" si="6"/>
        <v>9.53746</v>
      </c>
      <c r="D31" s="179">
        <f t="shared" si="7"/>
        <v>1.6</v>
      </c>
      <c r="E31" s="179">
        <f t="shared" si="8"/>
        <v>2.7786600000000004</v>
      </c>
      <c r="F31" s="179">
        <f t="shared" si="9"/>
        <v>5.158799999999999</v>
      </c>
      <c r="G31" s="179">
        <f t="shared" si="10"/>
        <v>3.0171400000000004</v>
      </c>
      <c r="H31" s="179">
        <f t="shared" si="11"/>
        <v>0</v>
      </c>
      <c r="I31" s="179">
        <f t="shared" si="12"/>
        <v>0.3231</v>
      </c>
      <c r="J31" s="179">
        <f t="shared" si="13"/>
        <v>2.69404</v>
      </c>
      <c r="K31" s="179">
        <f t="shared" si="14"/>
        <v>12.5546</v>
      </c>
      <c r="L31" s="179">
        <f t="shared" si="15"/>
        <v>1.6</v>
      </c>
      <c r="M31" s="179">
        <f t="shared" si="5"/>
        <v>3.1017600000000005</v>
      </c>
      <c r="N31" s="179">
        <f t="shared" si="5"/>
        <v>7.85284</v>
      </c>
    </row>
    <row r="32" spans="1:14" ht="9.75" customHeight="1">
      <c r="A32" s="71">
        <v>5</v>
      </c>
      <c r="B32" s="6" t="s">
        <v>6</v>
      </c>
      <c r="C32" s="179">
        <f t="shared" si="6"/>
        <v>16.4142</v>
      </c>
      <c r="D32" s="179">
        <f t="shared" si="7"/>
        <v>3.7</v>
      </c>
      <c r="E32" s="179">
        <f t="shared" si="8"/>
        <v>8.52984</v>
      </c>
      <c r="F32" s="179">
        <f t="shared" si="9"/>
        <v>4.184360000000001</v>
      </c>
      <c r="G32" s="179">
        <f t="shared" si="10"/>
        <v>23.50822</v>
      </c>
      <c r="H32" s="179">
        <f t="shared" si="11"/>
        <v>0</v>
      </c>
      <c r="I32" s="179">
        <f t="shared" si="12"/>
        <v>3.36024</v>
      </c>
      <c r="J32" s="179">
        <f t="shared" si="13"/>
        <v>20.14798</v>
      </c>
      <c r="K32" s="179">
        <f t="shared" si="14"/>
        <v>39.92242</v>
      </c>
      <c r="L32" s="179">
        <f t="shared" si="15"/>
        <v>3.7</v>
      </c>
      <c r="M32" s="179">
        <f t="shared" si="5"/>
        <v>11.890080000000001</v>
      </c>
      <c r="N32" s="179">
        <f t="shared" si="5"/>
        <v>24.332340000000002</v>
      </c>
    </row>
    <row r="33" spans="1:14" ht="9.75" customHeight="1">
      <c r="A33" s="71">
        <v>6</v>
      </c>
      <c r="B33" s="6" t="s">
        <v>7</v>
      </c>
      <c r="C33" s="179">
        <f t="shared" si="6"/>
        <v>16.37868</v>
      </c>
      <c r="D33" s="179">
        <f t="shared" si="7"/>
        <v>3.3</v>
      </c>
      <c r="E33" s="179">
        <f t="shared" si="8"/>
        <v>4.65264</v>
      </c>
      <c r="F33" s="179">
        <f t="shared" si="9"/>
        <v>8.42604</v>
      </c>
      <c r="G33" s="179">
        <f t="shared" si="10"/>
        <v>0</v>
      </c>
      <c r="H33" s="179">
        <f t="shared" si="11"/>
        <v>0</v>
      </c>
      <c r="I33" s="179">
        <f t="shared" si="12"/>
        <v>0</v>
      </c>
      <c r="J33" s="179">
        <f t="shared" si="13"/>
        <v>0</v>
      </c>
      <c r="K33" s="179">
        <f t="shared" si="14"/>
        <v>16.37868</v>
      </c>
      <c r="L33" s="179">
        <f t="shared" si="15"/>
        <v>3.3</v>
      </c>
      <c r="M33" s="179">
        <f t="shared" si="5"/>
        <v>4.65264</v>
      </c>
      <c r="N33" s="179">
        <f t="shared" si="5"/>
        <v>8.42604</v>
      </c>
    </row>
    <row r="34" spans="1:14" ht="9.75" customHeight="1">
      <c r="A34" s="71">
        <v>7</v>
      </c>
      <c r="B34" s="6" t="s">
        <v>8</v>
      </c>
      <c r="C34" s="179">
        <f t="shared" si="6"/>
        <v>11.685960000000001</v>
      </c>
      <c r="D34" s="179">
        <f t="shared" si="7"/>
        <v>0</v>
      </c>
      <c r="E34" s="179">
        <f t="shared" si="8"/>
        <v>6.7851</v>
      </c>
      <c r="F34" s="179">
        <f t="shared" si="9"/>
        <v>4.900860000000001</v>
      </c>
      <c r="G34" s="179">
        <f t="shared" si="10"/>
        <v>6.4512</v>
      </c>
      <c r="H34" s="179">
        <f t="shared" si="11"/>
        <v>0</v>
      </c>
      <c r="I34" s="179">
        <f t="shared" si="12"/>
        <v>1.2924</v>
      </c>
      <c r="J34" s="179">
        <f t="shared" si="13"/>
        <v>5.1588</v>
      </c>
      <c r="K34" s="179">
        <f t="shared" si="14"/>
        <v>18.13716</v>
      </c>
      <c r="L34" s="179">
        <f t="shared" si="15"/>
        <v>0</v>
      </c>
      <c r="M34" s="179">
        <f t="shared" si="5"/>
        <v>8.0775</v>
      </c>
      <c r="N34" s="179">
        <f t="shared" si="5"/>
        <v>10.059660000000001</v>
      </c>
    </row>
    <row r="35" spans="1:14" ht="9.75" customHeight="1">
      <c r="A35" s="71">
        <v>8</v>
      </c>
      <c r="B35" s="6" t="s">
        <v>9</v>
      </c>
      <c r="C35" s="179">
        <f t="shared" si="6"/>
        <v>12.642740000000002</v>
      </c>
      <c r="D35" s="179">
        <f t="shared" si="7"/>
        <v>5</v>
      </c>
      <c r="E35" s="179">
        <f t="shared" si="8"/>
        <v>5.751180000000001</v>
      </c>
      <c r="F35" s="179">
        <f t="shared" si="9"/>
        <v>1.8915600000000001</v>
      </c>
      <c r="G35" s="179">
        <f t="shared" si="10"/>
        <v>3.7544600000000004</v>
      </c>
      <c r="H35" s="179">
        <f t="shared" si="11"/>
        <v>0</v>
      </c>
      <c r="I35" s="179">
        <f t="shared" si="12"/>
        <v>0</v>
      </c>
      <c r="J35" s="179">
        <f t="shared" si="13"/>
        <v>3.7544600000000004</v>
      </c>
      <c r="K35" s="179">
        <f t="shared" si="14"/>
        <v>16.3972</v>
      </c>
      <c r="L35" s="179">
        <f t="shared" si="15"/>
        <v>5</v>
      </c>
      <c r="M35" s="179">
        <f t="shared" si="5"/>
        <v>5.751180000000001</v>
      </c>
      <c r="N35" s="179">
        <f t="shared" si="5"/>
        <v>5.64602</v>
      </c>
    </row>
    <row r="36" spans="1:14" ht="9.75" customHeight="1">
      <c r="A36" s="71">
        <v>9</v>
      </c>
      <c r="B36" s="6" t="s">
        <v>10</v>
      </c>
      <c r="C36" s="179">
        <f t="shared" si="6"/>
        <v>14.074579999999997</v>
      </c>
      <c r="D36" s="179">
        <f t="shared" si="7"/>
        <v>3.8</v>
      </c>
      <c r="E36" s="179">
        <f t="shared" si="8"/>
        <v>10.274579999999998</v>
      </c>
      <c r="F36" s="179">
        <f t="shared" si="9"/>
        <v>0</v>
      </c>
      <c r="G36" s="179">
        <f t="shared" si="10"/>
        <v>18.45852</v>
      </c>
      <c r="H36" s="179">
        <f t="shared" si="11"/>
        <v>0.6</v>
      </c>
      <c r="I36" s="179">
        <f t="shared" si="12"/>
        <v>13.60251</v>
      </c>
      <c r="J36" s="179">
        <f t="shared" si="13"/>
        <v>4.25601</v>
      </c>
      <c r="K36" s="179">
        <f t="shared" si="14"/>
        <v>32.5331</v>
      </c>
      <c r="L36" s="179">
        <f t="shared" si="15"/>
        <v>4.3999999999999995</v>
      </c>
      <c r="M36" s="179">
        <f t="shared" si="5"/>
        <v>23.87709</v>
      </c>
      <c r="N36" s="179">
        <f t="shared" si="5"/>
        <v>4.25601</v>
      </c>
    </row>
    <row r="37" spans="1:14" ht="9.75" customHeight="1">
      <c r="A37" s="71">
        <v>10</v>
      </c>
      <c r="B37" s="6" t="s">
        <v>12</v>
      </c>
      <c r="C37" s="179">
        <f t="shared" si="6"/>
        <v>6.17096</v>
      </c>
      <c r="D37" s="179">
        <f t="shared" si="7"/>
        <v>0.3</v>
      </c>
      <c r="E37" s="179">
        <f t="shared" si="8"/>
        <v>4.78188</v>
      </c>
      <c r="F37" s="179">
        <f t="shared" si="9"/>
        <v>1.0890799999999998</v>
      </c>
      <c r="G37" s="179">
        <f t="shared" si="10"/>
        <v>0.40124</v>
      </c>
      <c r="H37" s="179">
        <f t="shared" si="11"/>
        <v>0</v>
      </c>
      <c r="I37" s="179">
        <f t="shared" si="12"/>
        <v>0</v>
      </c>
      <c r="J37" s="179">
        <f t="shared" si="13"/>
        <v>0.40124</v>
      </c>
      <c r="K37" s="179">
        <f t="shared" si="14"/>
        <v>6.5722</v>
      </c>
      <c r="L37" s="179">
        <f t="shared" si="15"/>
        <v>0.3</v>
      </c>
      <c r="M37" s="179">
        <f t="shared" si="5"/>
        <v>4.78188</v>
      </c>
      <c r="N37" s="179">
        <f t="shared" si="5"/>
        <v>1.4903199999999999</v>
      </c>
    </row>
    <row r="38" spans="1:14" ht="9.75" customHeight="1">
      <c r="A38" s="71">
        <v>11</v>
      </c>
      <c r="B38" s="6" t="s">
        <v>13</v>
      </c>
      <c r="C38" s="179">
        <f t="shared" si="6"/>
        <v>13.677919999999999</v>
      </c>
      <c r="D38" s="179">
        <f t="shared" si="7"/>
        <v>1.1</v>
      </c>
      <c r="E38" s="179">
        <f t="shared" si="8"/>
        <v>11.89008</v>
      </c>
      <c r="F38" s="179">
        <f t="shared" si="9"/>
        <v>0.6878399999999997</v>
      </c>
      <c r="G38" s="179">
        <f t="shared" si="10"/>
        <v>4.8722</v>
      </c>
      <c r="H38" s="179">
        <f t="shared" si="11"/>
        <v>0</v>
      </c>
      <c r="I38" s="179">
        <f t="shared" si="12"/>
        <v>0</v>
      </c>
      <c r="J38" s="179">
        <f t="shared" si="13"/>
        <v>4.8722</v>
      </c>
      <c r="K38" s="179">
        <f t="shared" si="14"/>
        <v>18.55012</v>
      </c>
      <c r="L38" s="179">
        <f t="shared" si="15"/>
        <v>1.1</v>
      </c>
      <c r="M38" s="179">
        <f t="shared" si="5"/>
        <v>11.89008</v>
      </c>
      <c r="N38" s="179">
        <f t="shared" si="5"/>
        <v>5.56004</v>
      </c>
    </row>
    <row r="39" spans="1:14" ht="9.75" customHeight="1">
      <c r="A39" s="71">
        <v>12</v>
      </c>
      <c r="B39" s="6" t="s">
        <v>26</v>
      </c>
      <c r="C39" s="179">
        <f t="shared" si="6"/>
        <v>16.932920000000003</v>
      </c>
      <c r="D39" s="179">
        <f t="shared" si="7"/>
        <v>1.3</v>
      </c>
      <c r="E39" s="179">
        <f t="shared" si="8"/>
        <v>9.75762</v>
      </c>
      <c r="F39" s="179">
        <f t="shared" si="9"/>
        <v>5.875300000000001</v>
      </c>
      <c r="G39" s="179">
        <f t="shared" si="10"/>
        <v>22.80334</v>
      </c>
      <c r="H39" s="179">
        <f t="shared" si="11"/>
        <v>0</v>
      </c>
      <c r="I39" s="179">
        <f t="shared" si="12"/>
        <v>5.4927</v>
      </c>
      <c r="J39" s="179">
        <f>J20*$J$27</f>
        <v>17.31064</v>
      </c>
      <c r="K39" s="179">
        <f t="shared" si="14"/>
        <v>39.73626</v>
      </c>
      <c r="L39" s="179">
        <f t="shared" si="15"/>
        <v>1.3</v>
      </c>
      <c r="M39" s="179">
        <f t="shared" si="5"/>
        <v>15.250319999999999</v>
      </c>
      <c r="N39" s="179">
        <f t="shared" si="5"/>
        <v>23.185940000000002</v>
      </c>
    </row>
    <row r="40" spans="1:14" ht="9.75" customHeight="1">
      <c r="A40" s="71">
        <v>13</v>
      </c>
      <c r="B40" s="6" t="s">
        <v>14</v>
      </c>
      <c r="C40" s="179">
        <f t="shared" si="6"/>
        <v>7.7544</v>
      </c>
      <c r="D40" s="179">
        <f t="shared" si="7"/>
        <v>0</v>
      </c>
      <c r="E40" s="179">
        <f t="shared" si="8"/>
        <v>7.7544</v>
      </c>
      <c r="F40" s="179">
        <f t="shared" si="9"/>
        <v>0</v>
      </c>
      <c r="G40" s="179">
        <f t="shared" si="10"/>
        <v>3.6582000000000003</v>
      </c>
      <c r="H40" s="179">
        <f t="shared" si="11"/>
        <v>0</v>
      </c>
      <c r="I40" s="179">
        <f t="shared" si="12"/>
        <v>1.9386</v>
      </c>
      <c r="J40" s="179">
        <f t="shared" si="13"/>
        <v>1.7196000000000002</v>
      </c>
      <c r="K40" s="179">
        <f t="shared" si="14"/>
        <v>11.412600000000001</v>
      </c>
      <c r="L40" s="179">
        <f t="shared" si="15"/>
        <v>0</v>
      </c>
      <c r="M40" s="179">
        <f t="shared" si="5"/>
        <v>9.693000000000001</v>
      </c>
      <c r="N40" s="179">
        <f t="shared" si="5"/>
        <v>1.7196000000000002</v>
      </c>
    </row>
    <row r="41" spans="1:14" ht="9.75" customHeight="1">
      <c r="A41" s="71">
        <v>14</v>
      </c>
      <c r="B41" s="6" t="s">
        <v>15</v>
      </c>
      <c r="C41" s="179">
        <f t="shared" si="6"/>
        <v>12.96398</v>
      </c>
      <c r="D41" s="179">
        <f t="shared" si="7"/>
        <v>0.1</v>
      </c>
      <c r="E41" s="179">
        <f t="shared" si="8"/>
        <v>11.6316</v>
      </c>
      <c r="F41" s="179">
        <f t="shared" si="9"/>
        <v>1.2323799999999994</v>
      </c>
      <c r="G41" s="179">
        <f t="shared" si="10"/>
        <v>16.8661</v>
      </c>
      <c r="H41" s="179">
        <f t="shared" si="11"/>
        <v>0</v>
      </c>
      <c r="I41" s="179">
        <f t="shared" si="12"/>
        <v>13.5702</v>
      </c>
      <c r="J41" s="179">
        <f t="shared" si="13"/>
        <v>3.2959</v>
      </c>
      <c r="K41" s="179">
        <f t="shared" si="14"/>
        <v>29.83008</v>
      </c>
      <c r="L41" s="179">
        <f t="shared" si="15"/>
        <v>0.1</v>
      </c>
      <c r="M41" s="179">
        <f t="shared" si="5"/>
        <v>25.2018</v>
      </c>
      <c r="N41" s="179">
        <f t="shared" si="5"/>
        <v>4.52828</v>
      </c>
    </row>
    <row r="42" spans="1:14" ht="9.75" customHeight="1">
      <c r="A42" s="71">
        <v>15</v>
      </c>
      <c r="B42" s="6" t="s">
        <v>16</v>
      </c>
      <c r="C42" s="179">
        <f t="shared" si="6"/>
        <v>7.743320000000001</v>
      </c>
      <c r="D42" s="179">
        <f t="shared" si="7"/>
        <v>0</v>
      </c>
      <c r="E42" s="179">
        <f t="shared" si="8"/>
        <v>5.88042</v>
      </c>
      <c r="F42" s="179">
        <f t="shared" si="9"/>
        <v>1.8629000000000002</v>
      </c>
      <c r="G42" s="179">
        <f t="shared" si="10"/>
        <v>0.7165</v>
      </c>
      <c r="H42" s="179">
        <f t="shared" si="11"/>
        <v>0</v>
      </c>
      <c r="I42" s="179">
        <f t="shared" si="12"/>
        <v>0</v>
      </c>
      <c r="J42" s="179">
        <f t="shared" si="13"/>
        <v>0.7165</v>
      </c>
      <c r="K42" s="179">
        <f t="shared" si="14"/>
        <v>8.45982</v>
      </c>
      <c r="L42" s="179">
        <f t="shared" si="15"/>
        <v>0</v>
      </c>
      <c r="M42" s="179">
        <f t="shared" si="5"/>
        <v>5.88042</v>
      </c>
      <c r="N42" s="179">
        <f t="shared" si="5"/>
        <v>2.5794</v>
      </c>
    </row>
    <row r="43" spans="1:14" ht="9.75" customHeight="1">
      <c r="A43" s="71">
        <v>16</v>
      </c>
      <c r="B43" s="6" t="s">
        <v>17</v>
      </c>
      <c r="C43" s="179">
        <f t="shared" si="6"/>
        <v>35.44714</v>
      </c>
      <c r="D43" s="179">
        <f t="shared" si="7"/>
        <v>12.5</v>
      </c>
      <c r="E43" s="179">
        <f t="shared" si="8"/>
        <v>19.45062</v>
      </c>
      <c r="F43" s="179">
        <f t="shared" si="9"/>
        <v>3.496519999999999</v>
      </c>
      <c r="G43" s="179">
        <f t="shared" si="10"/>
        <v>7.5665000000000004</v>
      </c>
      <c r="H43" s="179">
        <f t="shared" si="11"/>
        <v>0</v>
      </c>
      <c r="I43" s="179">
        <f t="shared" si="12"/>
        <v>3.5541</v>
      </c>
      <c r="J43" s="179">
        <f t="shared" si="13"/>
        <v>4.0124</v>
      </c>
      <c r="K43" s="179">
        <f t="shared" si="14"/>
        <v>43.013639999999995</v>
      </c>
      <c r="L43" s="179">
        <f t="shared" si="15"/>
        <v>12.5</v>
      </c>
      <c r="M43" s="179">
        <f t="shared" si="5"/>
        <v>23.00472</v>
      </c>
      <c r="N43" s="179">
        <f t="shared" si="5"/>
        <v>7.50892</v>
      </c>
    </row>
    <row r="44" spans="1:14" ht="9.75" customHeight="1">
      <c r="A44" s="5"/>
      <c r="B44" s="5" t="s">
        <v>27</v>
      </c>
      <c r="C44" s="179">
        <f>SUM(C28:C43)</f>
        <v>273.09142</v>
      </c>
      <c r="D44" s="179">
        <f aca="true" t="shared" si="16" ref="D44:N44">SUM(D28:D43)</f>
        <v>53.599999999999994</v>
      </c>
      <c r="E44" s="179">
        <f t="shared" si="16"/>
        <v>176.05719</v>
      </c>
      <c r="F44" s="179">
        <f t="shared" si="16"/>
        <v>43.43423</v>
      </c>
      <c r="G44" s="226">
        <f t="shared" si="16"/>
        <v>135.7108</v>
      </c>
      <c r="H44" s="226">
        <f t="shared" si="16"/>
        <v>2.6</v>
      </c>
      <c r="I44" s="226">
        <f>SUM(I28:I43)</f>
        <v>56.31633</v>
      </c>
      <c r="J44" s="226">
        <f>SUM(J28:J43)</f>
        <v>76.79447</v>
      </c>
      <c r="K44" s="226">
        <f t="shared" si="16"/>
        <v>408.80222</v>
      </c>
      <c r="L44" s="226">
        <f t="shared" si="16"/>
        <v>56.199999999999996</v>
      </c>
      <c r="M44" s="226">
        <f t="shared" si="16"/>
        <v>232.37351999999998</v>
      </c>
      <c r="N44" s="226">
        <f t="shared" si="16"/>
        <v>120.22870000000002</v>
      </c>
    </row>
    <row r="45" spans="1:14" ht="12" customHeight="1">
      <c r="A45" s="227"/>
      <c r="B45" s="227"/>
      <c r="C45" s="229"/>
      <c r="D45" s="229"/>
      <c r="E45" s="229"/>
      <c r="F45" s="229"/>
      <c r="G45" s="229">
        <f>G44-'[3]Таблица 1'!$O$212</f>
        <v>0</v>
      </c>
      <c r="H45" s="229">
        <f>H44-'[3]Таблица 1'!$L$212</f>
        <v>0</v>
      </c>
      <c r="I45" s="229">
        <f>I44-'[3]Таблица 1'!$M$212</f>
        <v>0</v>
      </c>
      <c r="J45" s="229">
        <f>J44-'[3]Таблица 1'!$N$212</f>
        <v>0</v>
      </c>
      <c r="K45" s="232">
        <f>K44-'[3]Таблица 1'!$O$211</f>
        <v>0</v>
      </c>
      <c r="L45" s="228"/>
      <c r="M45" s="227"/>
      <c r="N45" s="227"/>
    </row>
    <row r="46" spans="1:14" ht="12" customHeight="1">
      <c r="A46" s="4"/>
      <c r="B46" s="69"/>
      <c r="C46" s="453" t="s">
        <v>41</v>
      </c>
      <c r="D46" s="454"/>
      <c r="E46" s="454"/>
      <c r="F46" s="455"/>
      <c r="G46" s="453" t="s">
        <v>42</v>
      </c>
      <c r="H46" s="454"/>
      <c r="I46" s="454"/>
      <c r="J46" s="455"/>
      <c r="K46" s="453" t="s">
        <v>43</v>
      </c>
      <c r="L46" s="454"/>
      <c r="M46" s="454"/>
      <c r="N46" s="455"/>
    </row>
    <row r="47" spans="1:16" ht="12" customHeight="1">
      <c r="A47" s="70">
        <v>1</v>
      </c>
      <c r="B47" s="7" t="s">
        <v>11</v>
      </c>
      <c r="C47" s="456">
        <f>C28/$K$44</f>
        <v>0.133849370974551</v>
      </c>
      <c r="D47" s="457"/>
      <c r="E47" s="457"/>
      <c r="F47" s="458"/>
      <c r="G47" s="456">
        <f>G28/$K$44</f>
        <v>0.023330548449565666</v>
      </c>
      <c r="H47" s="457"/>
      <c r="I47" s="457"/>
      <c r="J47" s="458"/>
      <c r="K47" s="456">
        <f>C47+G47</f>
        <v>0.15717991942411666</v>
      </c>
      <c r="L47" s="454"/>
      <c r="M47" s="454"/>
      <c r="N47" s="455"/>
      <c r="O47" s="9"/>
      <c r="P47" s="8"/>
    </row>
    <row r="48" spans="1:16" ht="12" customHeight="1">
      <c r="A48" s="71">
        <v>2</v>
      </c>
      <c r="B48" s="6" t="s">
        <v>3</v>
      </c>
      <c r="C48" s="456">
        <f aca="true" t="shared" si="17" ref="C48:C62">C29/$K$44</f>
        <v>0.04898491011130028</v>
      </c>
      <c r="D48" s="457"/>
      <c r="E48" s="457"/>
      <c r="F48" s="458"/>
      <c r="G48" s="456">
        <f aca="true" t="shared" si="18" ref="G48:G62">G29/$K$44</f>
        <v>0.0027037524404833224</v>
      </c>
      <c r="H48" s="457"/>
      <c r="I48" s="457"/>
      <c r="J48" s="458"/>
      <c r="K48" s="456">
        <f aca="true" t="shared" si="19" ref="K48:K63">C48+G48</f>
        <v>0.0516886625517836</v>
      </c>
      <c r="L48" s="454"/>
      <c r="M48" s="454"/>
      <c r="N48" s="455"/>
      <c r="P48" s="8"/>
    </row>
    <row r="49" spans="1:16" ht="12" customHeight="1">
      <c r="A49" s="71">
        <v>3</v>
      </c>
      <c r="B49" s="6" t="s">
        <v>4</v>
      </c>
      <c r="C49" s="456">
        <f t="shared" si="17"/>
        <v>0.04139923701979895</v>
      </c>
      <c r="D49" s="457"/>
      <c r="E49" s="457"/>
      <c r="F49" s="458"/>
      <c r="G49" s="456">
        <f t="shared" si="18"/>
        <v>0.031786275524629</v>
      </c>
      <c r="H49" s="457"/>
      <c r="I49" s="457"/>
      <c r="J49" s="458"/>
      <c r="K49" s="456">
        <f t="shared" si="19"/>
        <v>0.07318551254442796</v>
      </c>
      <c r="L49" s="454"/>
      <c r="M49" s="454"/>
      <c r="N49" s="455"/>
      <c r="P49" s="8"/>
    </row>
    <row r="50" spans="1:16" ht="12" customHeight="1">
      <c r="A50" s="71">
        <v>4</v>
      </c>
      <c r="B50" s="6" t="s">
        <v>5</v>
      </c>
      <c r="C50" s="456">
        <f t="shared" si="17"/>
        <v>0.023330254909085375</v>
      </c>
      <c r="D50" s="457"/>
      <c r="E50" s="457"/>
      <c r="F50" s="458"/>
      <c r="G50" s="456">
        <f t="shared" si="18"/>
        <v>0.007380439372369359</v>
      </c>
      <c r="H50" s="457"/>
      <c r="I50" s="457"/>
      <c r="J50" s="458"/>
      <c r="K50" s="456">
        <f t="shared" si="19"/>
        <v>0.030710694281454735</v>
      </c>
      <c r="L50" s="454"/>
      <c r="M50" s="454"/>
      <c r="N50" s="455"/>
      <c r="P50" s="8"/>
    </row>
    <row r="51" spans="1:16" ht="12" customHeight="1">
      <c r="A51" s="71">
        <v>5</v>
      </c>
      <c r="B51" s="6" t="s">
        <v>6</v>
      </c>
      <c r="C51" s="456">
        <f t="shared" si="17"/>
        <v>0.04015193459565851</v>
      </c>
      <c r="D51" s="457"/>
      <c r="E51" s="457"/>
      <c r="F51" s="458"/>
      <c r="G51" s="456">
        <f t="shared" si="18"/>
        <v>0.05750511824519936</v>
      </c>
      <c r="H51" s="457"/>
      <c r="I51" s="457"/>
      <c r="J51" s="458"/>
      <c r="K51" s="456">
        <f t="shared" si="19"/>
        <v>0.09765705284085788</v>
      </c>
      <c r="L51" s="454"/>
      <c r="M51" s="454"/>
      <c r="N51" s="455"/>
      <c r="P51" s="8"/>
    </row>
    <row r="52" spans="1:16" ht="12" customHeight="1">
      <c r="A52" s="71">
        <v>6</v>
      </c>
      <c r="B52" s="6" t="s">
        <v>7</v>
      </c>
      <c r="C52" s="456">
        <f t="shared" si="17"/>
        <v>0.040065046613494415</v>
      </c>
      <c r="D52" s="457"/>
      <c r="E52" s="457"/>
      <c r="F52" s="458"/>
      <c r="G52" s="456">
        <f t="shared" si="18"/>
        <v>0</v>
      </c>
      <c r="H52" s="457"/>
      <c r="I52" s="457"/>
      <c r="J52" s="458"/>
      <c r="K52" s="456">
        <f t="shared" si="19"/>
        <v>0.040065046613494415</v>
      </c>
      <c r="L52" s="454"/>
      <c r="M52" s="454"/>
      <c r="N52" s="455"/>
      <c r="P52" s="8"/>
    </row>
    <row r="53" spans="1:16" ht="12" customHeight="1">
      <c r="A53" s="71">
        <v>7</v>
      </c>
      <c r="B53" s="6" t="s">
        <v>8</v>
      </c>
      <c r="C53" s="456">
        <f t="shared" si="17"/>
        <v>0.028585852591505014</v>
      </c>
      <c r="D53" s="457"/>
      <c r="E53" s="457"/>
      <c r="F53" s="458"/>
      <c r="G53" s="456">
        <f t="shared" si="18"/>
        <v>0.015780736220072387</v>
      </c>
      <c r="H53" s="457"/>
      <c r="I53" s="457"/>
      <c r="J53" s="458"/>
      <c r="K53" s="456">
        <f t="shared" si="19"/>
        <v>0.0443665888115774</v>
      </c>
      <c r="L53" s="454"/>
      <c r="M53" s="454"/>
      <c r="N53" s="455"/>
      <c r="P53" s="8"/>
    </row>
    <row r="54" spans="1:16" ht="12" customHeight="1">
      <c r="A54" s="71">
        <v>8</v>
      </c>
      <c r="B54" s="6" t="s">
        <v>9</v>
      </c>
      <c r="C54" s="456">
        <f t="shared" si="17"/>
        <v>0.0309262997642234</v>
      </c>
      <c r="D54" s="457"/>
      <c r="E54" s="457"/>
      <c r="F54" s="458"/>
      <c r="G54" s="456">
        <f t="shared" si="18"/>
        <v>0.009184049930061536</v>
      </c>
      <c r="H54" s="457"/>
      <c r="I54" s="457"/>
      <c r="J54" s="458"/>
      <c r="K54" s="456">
        <f t="shared" si="19"/>
        <v>0.04011034969428494</v>
      </c>
      <c r="L54" s="454"/>
      <c r="M54" s="454"/>
      <c r="N54" s="455"/>
      <c r="P54" s="8"/>
    </row>
    <row r="55" spans="1:16" ht="12" customHeight="1">
      <c r="A55" s="71">
        <v>9</v>
      </c>
      <c r="B55" s="6" t="s">
        <v>10</v>
      </c>
      <c r="C55" s="456">
        <f t="shared" si="17"/>
        <v>0.03442882477497309</v>
      </c>
      <c r="D55" s="457"/>
      <c r="E55" s="457"/>
      <c r="F55" s="458"/>
      <c r="G55" s="456">
        <f t="shared" si="18"/>
        <v>0.04515269021777817</v>
      </c>
      <c r="H55" s="457"/>
      <c r="I55" s="457"/>
      <c r="J55" s="458"/>
      <c r="K55" s="456">
        <f t="shared" si="19"/>
        <v>0.07958151499275126</v>
      </c>
      <c r="L55" s="454"/>
      <c r="M55" s="454"/>
      <c r="N55" s="455"/>
      <c r="P55" s="8"/>
    </row>
    <row r="56" spans="1:16" ht="12" customHeight="1">
      <c r="A56" s="71">
        <v>10</v>
      </c>
      <c r="B56" s="6" t="s">
        <v>12</v>
      </c>
      <c r="C56" s="456">
        <f t="shared" si="17"/>
        <v>0.015095221351782288</v>
      </c>
      <c r="D56" s="457"/>
      <c r="E56" s="457"/>
      <c r="F56" s="458"/>
      <c r="G56" s="456">
        <f t="shared" si="18"/>
        <v>0.0009815015192432175</v>
      </c>
      <c r="H56" s="457"/>
      <c r="I56" s="457"/>
      <c r="J56" s="458"/>
      <c r="K56" s="456">
        <f t="shared" si="19"/>
        <v>0.016076722871025507</v>
      </c>
      <c r="L56" s="454"/>
      <c r="M56" s="454"/>
      <c r="N56" s="455"/>
      <c r="P56" s="8"/>
    </row>
    <row r="57" spans="1:16" ht="12" customHeight="1">
      <c r="A57" s="71">
        <v>11</v>
      </c>
      <c r="B57" s="6" t="s">
        <v>13</v>
      </c>
      <c r="C57" s="456">
        <f t="shared" si="17"/>
        <v>0.03345852671739405</v>
      </c>
      <c r="D57" s="457"/>
      <c r="E57" s="457"/>
      <c r="F57" s="458"/>
      <c r="G57" s="456">
        <f t="shared" si="18"/>
        <v>0.011918232733667641</v>
      </c>
      <c r="H57" s="457"/>
      <c r="I57" s="457"/>
      <c r="J57" s="458"/>
      <c r="K57" s="456">
        <f t="shared" si="19"/>
        <v>0.04537675945106169</v>
      </c>
      <c r="L57" s="454"/>
      <c r="M57" s="454"/>
      <c r="N57" s="455"/>
      <c r="P57" s="8"/>
    </row>
    <row r="58" spans="1:16" ht="12" customHeight="1">
      <c r="A58" s="71">
        <v>12</v>
      </c>
      <c r="B58" s="6" t="s">
        <v>26</v>
      </c>
      <c r="C58" s="456">
        <f t="shared" si="17"/>
        <v>0.04142081224509985</v>
      </c>
      <c r="D58" s="457"/>
      <c r="E58" s="457"/>
      <c r="F58" s="458"/>
      <c r="G58" s="456">
        <f t="shared" si="18"/>
        <v>0.05578086146401064</v>
      </c>
      <c r="H58" s="457"/>
      <c r="I58" s="457"/>
      <c r="J58" s="458"/>
      <c r="K58" s="456">
        <f t="shared" si="19"/>
        <v>0.0972016737091105</v>
      </c>
      <c r="L58" s="454"/>
      <c r="M58" s="454"/>
      <c r="N58" s="455"/>
      <c r="P58" s="8"/>
    </row>
    <row r="59" spans="1:16" ht="12" customHeight="1">
      <c r="A59" s="71">
        <v>13</v>
      </c>
      <c r="B59" s="6" t="s">
        <v>14</v>
      </c>
      <c r="C59" s="456">
        <f t="shared" si="17"/>
        <v>0.018968585835957546</v>
      </c>
      <c r="D59" s="457"/>
      <c r="E59" s="457"/>
      <c r="F59" s="458"/>
      <c r="G59" s="456">
        <f t="shared" si="18"/>
        <v>0.00894858154146032</v>
      </c>
      <c r="H59" s="457"/>
      <c r="I59" s="457"/>
      <c r="J59" s="458"/>
      <c r="K59" s="456">
        <f t="shared" si="19"/>
        <v>0.027917167377417867</v>
      </c>
      <c r="L59" s="454"/>
      <c r="M59" s="454"/>
      <c r="N59" s="455"/>
      <c r="P59" s="8"/>
    </row>
    <row r="60" spans="1:16" ht="12" customHeight="1">
      <c r="A60" s="71">
        <v>14</v>
      </c>
      <c r="B60" s="6" t="s">
        <v>15</v>
      </c>
      <c r="C60" s="456">
        <f t="shared" si="17"/>
        <v>0.03171210762994389</v>
      </c>
      <c r="D60" s="457"/>
      <c r="E60" s="457"/>
      <c r="F60" s="458"/>
      <c r="G60" s="456">
        <f t="shared" si="18"/>
        <v>0.04125735912099499</v>
      </c>
      <c r="H60" s="457"/>
      <c r="I60" s="457"/>
      <c r="J60" s="458"/>
      <c r="K60" s="456">
        <f t="shared" si="19"/>
        <v>0.07296946675093888</v>
      </c>
      <c r="L60" s="454"/>
      <c r="M60" s="454"/>
      <c r="N60" s="455"/>
      <c r="P60" s="8"/>
    </row>
    <row r="61" spans="1:16" ht="12" customHeight="1">
      <c r="A61" s="71">
        <v>15</v>
      </c>
      <c r="B61" s="6" t="s">
        <v>16</v>
      </c>
      <c r="C61" s="456">
        <f t="shared" si="17"/>
        <v>0.01894148226494465</v>
      </c>
      <c r="D61" s="457"/>
      <c r="E61" s="457"/>
      <c r="F61" s="458"/>
      <c r="G61" s="456">
        <f t="shared" si="18"/>
        <v>0.0017526812843628883</v>
      </c>
      <c r="H61" s="457"/>
      <c r="I61" s="457"/>
      <c r="J61" s="458"/>
      <c r="K61" s="456">
        <f t="shared" si="19"/>
        <v>0.02069416354930754</v>
      </c>
      <c r="L61" s="454"/>
      <c r="M61" s="454"/>
      <c r="N61" s="455"/>
      <c r="P61" s="8"/>
    </row>
    <row r="62" spans="1:16" ht="12" customHeight="1">
      <c r="A62" s="71">
        <v>16</v>
      </c>
      <c r="B62" s="6" t="s">
        <v>17</v>
      </c>
      <c r="C62" s="456">
        <f t="shared" si="17"/>
        <v>0.08670975416914321</v>
      </c>
      <c r="D62" s="457"/>
      <c r="E62" s="457"/>
      <c r="F62" s="458"/>
      <c r="G62" s="456">
        <f t="shared" si="18"/>
        <v>0.01850895036724605</v>
      </c>
      <c r="H62" s="457"/>
      <c r="I62" s="457"/>
      <c r="J62" s="458"/>
      <c r="K62" s="456">
        <f t="shared" si="19"/>
        <v>0.10521870453638926</v>
      </c>
      <c r="L62" s="454"/>
      <c r="M62" s="454"/>
      <c r="N62" s="455"/>
      <c r="P62" s="8"/>
    </row>
    <row r="63" spans="1:14" ht="11.25" customHeight="1">
      <c r="A63" s="5"/>
      <c r="B63" s="5" t="s">
        <v>27</v>
      </c>
      <c r="C63" s="456">
        <f>SUM(C47:F62)</f>
        <v>0.6680282215688554</v>
      </c>
      <c r="D63" s="457"/>
      <c r="E63" s="457"/>
      <c r="F63" s="458"/>
      <c r="G63" s="469">
        <f>SUM(G47:J62)</f>
        <v>0.33197177843114456</v>
      </c>
      <c r="H63" s="470"/>
      <c r="I63" s="470"/>
      <c r="J63" s="471"/>
      <c r="K63" s="456">
        <f t="shared" si="19"/>
        <v>1</v>
      </c>
      <c r="L63" s="454"/>
      <c r="M63" s="454"/>
      <c r="N63" s="455"/>
    </row>
    <row r="64" spans="1:10" ht="11.25" customHeight="1">
      <c r="A64" s="1">
        <v>0</v>
      </c>
      <c r="C64" s="465"/>
      <c r="D64" s="465"/>
      <c r="E64" s="465"/>
      <c r="F64" s="465"/>
      <c r="G64" s="464"/>
      <c r="H64" s="464"/>
      <c r="I64" s="464"/>
      <c r="J64" s="464"/>
    </row>
    <row r="65" spans="1:15" ht="11.25">
      <c r="A65" s="4">
        <f aca="true" t="shared" si="20" ref="A65:B80">A47</f>
        <v>1</v>
      </c>
      <c r="B65" s="4" t="str">
        <f t="shared" si="20"/>
        <v>МО "Октябрьское"</v>
      </c>
      <c r="C65" s="180">
        <f>C28/$B$83*10</f>
        <v>0.10385301709854229</v>
      </c>
      <c r="D65" s="233">
        <f>ROUND(C65*$B$84/100,$A$64)*1000</f>
        <v>3260000</v>
      </c>
      <c r="E65" s="267">
        <f>D65/'[4]ДифНорматив'!$D$65</f>
        <v>1.3066655978195518</v>
      </c>
      <c r="F65" s="180">
        <f>C65-'[3]Таблица 1'!$R$221</f>
        <v>0</v>
      </c>
      <c r="G65" s="182"/>
      <c r="H65" s="181"/>
      <c r="I65" s="181"/>
      <c r="J65" s="183"/>
      <c r="K65" s="1">
        <f>'[9]Таблица 1'!$R$221</f>
        <v>0.10385301709854228</v>
      </c>
      <c r="O65" s="287">
        <f>C28/$B$83*$B$84*100</f>
        <v>3259917.127878455</v>
      </c>
    </row>
    <row r="66" spans="1:15" ht="12.75" customHeight="1">
      <c r="A66" s="4">
        <f t="shared" si="20"/>
        <v>2</v>
      </c>
      <c r="B66" s="4" t="str">
        <f t="shared" si="20"/>
        <v>МО "Березницкое"</v>
      </c>
      <c r="C66" s="180">
        <f aca="true" t="shared" si="21" ref="C66:C79">C29/$B$83*10</f>
        <v>0.03800713197469317</v>
      </c>
      <c r="D66" s="184">
        <f>ROUND(C66*$B$84/100,$A$64)*1000</f>
        <v>1193000</v>
      </c>
      <c r="E66" s="181"/>
      <c r="F66" s="180">
        <f>C66-'[3]Таблица 1'!$R$213</f>
        <v>0</v>
      </c>
      <c r="G66" s="182"/>
      <c r="H66" s="237">
        <f>D66</f>
        <v>1193000</v>
      </c>
      <c r="I66" s="195"/>
      <c r="J66" s="195">
        <f>H66+I66</f>
        <v>1193000</v>
      </c>
      <c r="K66" s="1">
        <f>'[9]Таблица 1'!R213</f>
        <v>0.038007131974693166</v>
      </c>
      <c r="L66" s="1">
        <v>0.03801</v>
      </c>
      <c r="M66" s="468">
        <f>$B$84*K66*10</f>
        <v>1193033.2306886655</v>
      </c>
      <c r="N66" s="468"/>
      <c r="O66" s="365">
        <f>C29/$B$83*$B$84*100</f>
        <v>1193033.2306886658</v>
      </c>
    </row>
    <row r="67" spans="1:15" ht="11.25">
      <c r="A67" s="4">
        <f t="shared" si="20"/>
        <v>3</v>
      </c>
      <c r="B67" s="4" t="str">
        <f t="shared" si="20"/>
        <v>МО "Бестужевское"</v>
      </c>
      <c r="C67" s="180">
        <f t="shared" si="21"/>
        <v>0.032121448451941134</v>
      </c>
      <c r="D67" s="184">
        <f aca="true" t="shared" si="22" ref="D67:D80">ROUND(C67*$B$84/100,$A$64)*1000</f>
        <v>1008000</v>
      </c>
      <c r="E67" s="181"/>
      <c r="F67" s="180">
        <f>C67-'[3]Таблица 1'!$R$214</f>
        <v>0</v>
      </c>
      <c r="G67" s="182"/>
      <c r="H67" s="237">
        <f aca="true" t="shared" si="23" ref="H67:H80">D67</f>
        <v>1008000</v>
      </c>
      <c r="I67" s="195"/>
      <c r="J67" s="195">
        <f aca="true" t="shared" si="24" ref="J67:J79">H67+I67</f>
        <v>1008000</v>
      </c>
      <c r="K67" s="1">
        <f>'[9]Таблица 1'!R214</f>
        <v>0.032121448451941134</v>
      </c>
      <c r="L67" s="1">
        <v>0.03212</v>
      </c>
      <c r="M67" s="468">
        <f aca="true" t="shared" si="25" ref="M67:M81">$B$84*K67*10</f>
        <v>1008283.2729008656</v>
      </c>
      <c r="N67" s="468"/>
      <c r="O67" s="287">
        <f aca="true" t="shared" si="26" ref="O67:O80">C30/$B$83*$B$84*100</f>
        <v>1008283.2729008656</v>
      </c>
    </row>
    <row r="68" spans="1:15" ht="11.25">
      <c r="A68" s="4">
        <f t="shared" si="20"/>
        <v>4</v>
      </c>
      <c r="B68" s="4" t="str">
        <f t="shared" si="20"/>
        <v>МО "Дмитриевское"</v>
      </c>
      <c r="C68" s="180">
        <f t="shared" si="21"/>
        <v>0.018101821057099083</v>
      </c>
      <c r="D68" s="184">
        <f t="shared" si="22"/>
        <v>568000</v>
      </c>
      <c r="E68" s="181"/>
      <c r="F68" s="180">
        <f>C68-'[3]Таблица 1'!$R$215</f>
        <v>0</v>
      </c>
      <c r="G68" s="182"/>
      <c r="H68" s="237">
        <f t="shared" si="23"/>
        <v>568000</v>
      </c>
      <c r="I68" s="195"/>
      <c r="J68" s="195">
        <f t="shared" si="24"/>
        <v>568000</v>
      </c>
      <c r="K68" s="1">
        <f>'[9]Таблица 1'!R215</f>
        <v>0.01810182105709908</v>
      </c>
      <c r="L68" s="1">
        <v>0.0181</v>
      </c>
      <c r="M68" s="468">
        <f t="shared" si="25"/>
        <v>568211.0944724442</v>
      </c>
      <c r="N68" s="468"/>
      <c r="O68" s="287">
        <f t="shared" si="26"/>
        <v>568211.0944724443</v>
      </c>
    </row>
    <row r="69" spans="1:15" ht="11.25">
      <c r="A69" s="4">
        <f t="shared" si="20"/>
        <v>5</v>
      </c>
      <c r="B69" s="4" t="str">
        <f t="shared" si="20"/>
        <v>МО "Илезское"</v>
      </c>
      <c r="C69" s="180">
        <f t="shared" si="21"/>
        <v>0.03115367311584382</v>
      </c>
      <c r="D69" s="184">
        <f t="shared" si="22"/>
        <v>978000</v>
      </c>
      <c r="E69" s="181"/>
      <c r="F69" s="180">
        <f>C69-'[3]Таблица 1'!$R$216</f>
        <v>0</v>
      </c>
      <c r="G69" s="182"/>
      <c r="H69" s="237">
        <f t="shared" si="23"/>
        <v>978000</v>
      </c>
      <c r="I69" s="195"/>
      <c r="J69" s="195">
        <f>H69+I69</f>
        <v>978000</v>
      </c>
      <c r="K69" s="1">
        <f>'[9]Таблица 1'!R216</f>
        <v>0.031153673115843813</v>
      </c>
      <c r="L69" s="1">
        <v>0.03115</v>
      </c>
      <c r="M69" s="468">
        <f t="shared" si="25"/>
        <v>977905.076077865</v>
      </c>
      <c r="N69" s="468"/>
      <c r="O69" s="287">
        <f t="shared" si="26"/>
        <v>977905.0760778651</v>
      </c>
    </row>
    <row r="70" spans="1:15" ht="11.25">
      <c r="A70" s="4">
        <f t="shared" si="20"/>
        <v>6</v>
      </c>
      <c r="B70" s="4" t="str">
        <f t="shared" si="20"/>
        <v>МО "Киземское"</v>
      </c>
      <c r="C70" s="180">
        <f t="shared" si="21"/>
        <v>0.031086257191273947</v>
      </c>
      <c r="D70" s="184">
        <f t="shared" si="22"/>
        <v>976000</v>
      </c>
      <c r="E70" s="181"/>
      <c r="F70" s="180">
        <f>C70-'[3]Таблица 1'!$R$217</f>
        <v>0</v>
      </c>
      <c r="G70" s="182"/>
      <c r="H70" s="237">
        <f t="shared" si="23"/>
        <v>976000</v>
      </c>
      <c r="I70" s="195"/>
      <c r="J70" s="195">
        <f t="shared" si="24"/>
        <v>976000</v>
      </c>
      <c r="K70" s="1">
        <f>'[9]Таблица 1'!R217</f>
        <v>0.031086257191273937</v>
      </c>
      <c r="L70" s="1">
        <v>0.03109</v>
      </c>
      <c r="M70" s="468">
        <f t="shared" si="25"/>
        <v>975788.9090820752</v>
      </c>
      <c r="N70" s="468"/>
      <c r="O70" s="287">
        <f t="shared" si="26"/>
        <v>975788.9090820756</v>
      </c>
    </row>
    <row r="71" spans="1:15" ht="11.25">
      <c r="A71" s="4">
        <f t="shared" si="20"/>
        <v>7</v>
      </c>
      <c r="B71" s="4" t="str">
        <f t="shared" si="20"/>
        <v>МО "Лихачевское"</v>
      </c>
      <c r="C71" s="180">
        <f t="shared" si="21"/>
        <v>0.022179611426985553</v>
      </c>
      <c r="D71" s="184">
        <f t="shared" si="22"/>
        <v>696000</v>
      </c>
      <c r="E71" s="181"/>
      <c r="F71" s="180">
        <f>C71-'[3]Таблица 1'!$R$218</f>
        <v>0</v>
      </c>
      <c r="G71" s="182"/>
      <c r="H71" s="237">
        <f t="shared" si="23"/>
        <v>696000</v>
      </c>
      <c r="I71" s="195"/>
      <c r="J71" s="195">
        <f t="shared" si="24"/>
        <v>696000</v>
      </c>
      <c r="K71" s="1">
        <f>'[9]Таблица 1'!R218</f>
        <v>0.02217961142698555</v>
      </c>
      <c r="L71" s="1">
        <v>0.02218</v>
      </c>
      <c r="M71" s="468">
        <f t="shared" si="25"/>
        <v>696211.7924018769</v>
      </c>
      <c r="N71" s="468"/>
      <c r="O71" s="287">
        <f t="shared" si="26"/>
        <v>696211.7924018769</v>
      </c>
    </row>
    <row r="72" spans="1:15" ht="11.25">
      <c r="A72" s="4">
        <f t="shared" si="20"/>
        <v>8</v>
      </c>
      <c r="B72" s="4" t="str">
        <f t="shared" si="20"/>
        <v>МО "Лойгинское"</v>
      </c>
      <c r="C72" s="180">
        <f t="shared" si="21"/>
        <v>0.02399555197625247</v>
      </c>
      <c r="D72" s="184">
        <f t="shared" si="22"/>
        <v>753000</v>
      </c>
      <c r="E72" s="181"/>
      <c r="F72" s="180">
        <f>C72-'[3]Таблица 1'!$R$219</f>
        <v>0</v>
      </c>
      <c r="G72" s="182"/>
      <c r="H72" s="237">
        <f t="shared" si="23"/>
        <v>753000</v>
      </c>
      <c r="I72" s="195"/>
      <c r="J72" s="195">
        <f t="shared" si="24"/>
        <v>753000</v>
      </c>
      <c r="K72" s="1">
        <f>'[9]Таблица 1'!R219</f>
        <v>0.023995551976252468</v>
      </c>
      <c r="L72" s="1">
        <v>0.024</v>
      </c>
      <c r="M72" s="468">
        <f t="shared" si="25"/>
        <v>753213.6577800115</v>
      </c>
      <c r="N72" s="468"/>
      <c r="O72" s="287">
        <f t="shared" si="26"/>
        <v>753213.6577800118</v>
      </c>
    </row>
    <row r="73" spans="1:15" ht="11.25">
      <c r="A73" s="4">
        <f t="shared" si="20"/>
        <v>9</v>
      </c>
      <c r="B73" s="4" t="str">
        <f t="shared" si="20"/>
        <v>МО "Малодорское"</v>
      </c>
      <c r="C73" s="180">
        <f t="shared" si="21"/>
        <v>0.026713142557224415</v>
      </c>
      <c r="D73" s="184">
        <f t="shared" si="22"/>
        <v>839000</v>
      </c>
      <c r="E73" s="181"/>
      <c r="F73" s="180">
        <f>C73-'[3]Таблица 1'!$R$220</f>
        <v>0</v>
      </c>
      <c r="G73" s="182"/>
      <c r="H73" s="237">
        <f t="shared" si="23"/>
        <v>839000</v>
      </c>
      <c r="I73" s="195"/>
      <c r="J73" s="195">
        <f t="shared" si="24"/>
        <v>839000</v>
      </c>
      <c r="K73" s="1">
        <f>'[9]Таблица 1'!R220</f>
        <v>0.02671314255722441</v>
      </c>
      <c r="L73" s="1">
        <v>0.02671</v>
      </c>
      <c r="M73" s="468">
        <f t="shared" si="25"/>
        <v>838518.0651913582</v>
      </c>
      <c r="N73" s="468"/>
      <c r="O73" s="287">
        <f t="shared" si="26"/>
        <v>838518.0651913584</v>
      </c>
    </row>
    <row r="74" spans="1:15" ht="11.25">
      <c r="A74" s="4">
        <f t="shared" si="20"/>
        <v>10</v>
      </c>
      <c r="B74" s="4" t="str">
        <f t="shared" si="20"/>
        <v>МО "Орловское"</v>
      </c>
      <c r="C74" s="180">
        <f t="shared" si="21"/>
        <v>0.01171230219267144</v>
      </c>
      <c r="D74" s="184">
        <f t="shared" si="22"/>
        <v>368000</v>
      </c>
      <c r="E74" s="181"/>
      <c r="F74" s="180">
        <f>C74-'[3]Таблица 1'!$R$222</f>
        <v>0</v>
      </c>
      <c r="G74" s="182"/>
      <c r="H74" s="237">
        <f t="shared" si="23"/>
        <v>368000</v>
      </c>
      <c r="I74" s="195"/>
      <c r="J74" s="195">
        <f t="shared" si="24"/>
        <v>368000</v>
      </c>
      <c r="K74" s="1">
        <f>'[9]Таблица 1'!R222</f>
        <v>0.011712302192671437</v>
      </c>
      <c r="L74" s="1">
        <v>0.01171</v>
      </c>
      <c r="M74" s="468">
        <f t="shared" si="25"/>
        <v>367645.88638334244</v>
      </c>
      <c r="N74" s="468"/>
      <c r="O74" s="287">
        <f t="shared" si="26"/>
        <v>367645.88638334256</v>
      </c>
    </row>
    <row r="75" spans="1:15" ht="11.25">
      <c r="A75" s="4">
        <f t="shared" si="20"/>
        <v>11</v>
      </c>
      <c r="B75" s="4" t="str">
        <f t="shared" si="20"/>
        <v>МО "Плосское"</v>
      </c>
      <c r="C75" s="180">
        <f t="shared" si="21"/>
        <v>0.02596029344011054</v>
      </c>
      <c r="D75" s="184">
        <f t="shared" si="22"/>
        <v>815000</v>
      </c>
      <c r="E75" s="181"/>
      <c r="F75" s="180">
        <f>C75-'[3]Таблица 1'!$R$223</f>
        <v>0</v>
      </c>
      <c r="G75" s="182"/>
      <c r="H75" s="237">
        <f t="shared" si="23"/>
        <v>815000</v>
      </c>
      <c r="I75" s="195"/>
      <c r="J75" s="195">
        <f t="shared" si="24"/>
        <v>815000</v>
      </c>
      <c r="K75" s="1">
        <f>'[9]Таблица 1'!R223</f>
        <v>0.02596029344011053</v>
      </c>
      <c r="L75" s="1">
        <v>0.02596</v>
      </c>
      <c r="M75" s="468">
        <f t="shared" si="25"/>
        <v>814886.3422029064</v>
      </c>
      <c r="N75" s="468"/>
      <c r="O75" s="287">
        <f t="shared" si="26"/>
        <v>814886.3422029067</v>
      </c>
    </row>
    <row r="76" spans="1:15" ht="11.25">
      <c r="A76" s="4">
        <f t="shared" si="20"/>
        <v>12</v>
      </c>
      <c r="B76" s="4" t="str">
        <f t="shared" si="20"/>
        <v>МО "Ростовско - Минское"</v>
      </c>
      <c r="C76" s="180">
        <f t="shared" si="21"/>
        <v>0.03213818855483266</v>
      </c>
      <c r="D76" s="184">
        <f t="shared" si="22"/>
        <v>1009000</v>
      </c>
      <c r="E76" s="181"/>
      <c r="F76" s="180">
        <f>C76-'[3]Таблица 1'!$R$224</f>
        <v>0</v>
      </c>
      <c r="G76" s="182"/>
      <c r="H76" s="237">
        <f t="shared" si="23"/>
        <v>1009000</v>
      </c>
      <c r="I76" s="195"/>
      <c r="J76" s="195">
        <f t="shared" si="24"/>
        <v>1009000</v>
      </c>
      <c r="K76" s="1">
        <f>'[9]Таблица 1'!R224</f>
        <v>0.03213818855483266</v>
      </c>
      <c r="L76" s="1">
        <v>0.03214</v>
      </c>
      <c r="M76" s="468">
        <f t="shared" si="25"/>
        <v>1008808.7400434017</v>
      </c>
      <c r="N76" s="468"/>
      <c r="O76" s="287">
        <f t="shared" si="26"/>
        <v>1008808.7400434017</v>
      </c>
    </row>
    <row r="77" spans="1:15" ht="11.25">
      <c r="A77" s="4">
        <f t="shared" si="20"/>
        <v>13</v>
      </c>
      <c r="B77" s="4" t="str">
        <f t="shared" si="20"/>
        <v>МО "Синицкое"</v>
      </c>
      <c r="C77" s="180">
        <f t="shared" si="21"/>
        <v>0.014717625154408946</v>
      </c>
      <c r="D77" s="184">
        <f t="shared" si="22"/>
        <v>462000</v>
      </c>
      <c r="E77" s="181"/>
      <c r="F77" s="180">
        <f>C77-'[3]Таблица 1'!$R$225</f>
        <v>0</v>
      </c>
      <c r="G77" s="182"/>
      <c r="H77" s="237">
        <f t="shared" si="23"/>
        <v>462000</v>
      </c>
      <c r="I77" s="195"/>
      <c r="J77" s="195">
        <f t="shared" si="24"/>
        <v>462000</v>
      </c>
      <c r="K77" s="1">
        <f>'[9]Таблица 1'!R225</f>
        <v>0.014717625154408942</v>
      </c>
      <c r="L77" s="1">
        <v>0.01472</v>
      </c>
      <c r="M77" s="468">
        <f t="shared" si="25"/>
        <v>461982.13266185345</v>
      </c>
      <c r="N77" s="468"/>
      <c r="O77" s="287">
        <f t="shared" si="26"/>
        <v>461982.13266185357</v>
      </c>
    </row>
    <row r="78" spans="1:15" ht="11.25">
      <c r="A78" s="4">
        <f t="shared" si="20"/>
        <v>14</v>
      </c>
      <c r="B78" s="4" t="str">
        <f t="shared" si="20"/>
        <v>МО "Строевское"</v>
      </c>
      <c r="C78" s="180">
        <f t="shared" si="21"/>
        <v>0.024605256131906332</v>
      </c>
      <c r="D78" s="184">
        <f t="shared" si="22"/>
        <v>772000</v>
      </c>
      <c r="E78" s="181"/>
      <c r="F78" s="180">
        <f>C78-'[3]Таблица 1'!$R$226</f>
        <v>0</v>
      </c>
      <c r="G78" s="182"/>
      <c r="H78" s="237">
        <f t="shared" si="23"/>
        <v>772000</v>
      </c>
      <c r="I78" s="195"/>
      <c r="J78" s="195">
        <f t="shared" si="24"/>
        <v>772000</v>
      </c>
      <c r="K78" s="1">
        <f>'[9]Таблица 1'!R226</f>
        <v>0.02460525613190633</v>
      </c>
      <c r="L78" s="1">
        <v>0.02461</v>
      </c>
      <c r="M78" s="468">
        <f t="shared" si="25"/>
        <v>772352.1005088228</v>
      </c>
      <c r="N78" s="468"/>
      <c r="O78" s="287">
        <f t="shared" si="26"/>
        <v>772352.1005088228</v>
      </c>
    </row>
    <row r="79" spans="1:15" ht="11.25">
      <c r="A79" s="4">
        <f t="shared" si="20"/>
        <v>15</v>
      </c>
      <c r="B79" s="4" t="str">
        <f t="shared" si="20"/>
        <v>МО "Череновское"</v>
      </c>
      <c r="C79" s="180">
        <f t="shared" si="21"/>
        <v>0.014696595637397848</v>
      </c>
      <c r="D79" s="184">
        <f t="shared" si="22"/>
        <v>461000</v>
      </c>
      <c r="E79" s="181"/>
      <c r="F79" s="180">
        <f>C79-'[3]Таблица 1'!$R$227</f>
        <v>0</v>
      </c>
      <c r="G79" s="182"/>
      <c r="H79" s="237">
        <f t="shared" si="23"/>
        <v>461000</v>
      </c>
      <c r="I79" s="195"/>
      <c r="J79" s="195">
        <f t="shared" si="24"/>
        <v>461000</v>
      </c>
      <c r="K79" s="1">
        <f>'[9]Таблица 1'!R227</f>
        <v>0.014696595637397846</v>
      </c>
      <c r="L79" s="1">
        <v>0.0147</v>
      </c>
      <c r="M79" s="468">
        <f t="shared" si="25"/>
        <v>461322.0220111399</v>
      </c>
      <c r="N79" s="468"/>
      <c r="O79" s="287">
        <f t="shared" si="26"/>
        <v>461322.02201113995</v>
      </c>
    </row>
    <row r="80" spans="1:15" ht="11.25">
      <c r="A80" s="4">
        <f t="shared" si="20"/>
        <v>16</v>
      </c>
      <c r="B80" s="4" t="str">
        <f t="shared" si="20"/>
        <v>МО "Шангальское"</v>
      </c>
      <c r="C80" s="180">
        <f>C43/$B$83*10</f>
        <v>0.06727763841378513</v>
      </c>
      <c r="D80" s="184">
        <f t="shared" si="22"/>
        <v>2112000</v>
      </c>
      <c r="E80" s="181"/>
      <c r="F80" s="180">
        <f>C80-'[3]Таблица 1'!$R$228</f>
        <v>0</v>
      </c>
      <c r="G80" s="182"/>
      <c r="H80" s="237">
        <f t="shared" si="23"/>
        <v>2112000</v>
      </c>
      <c r="I80" s="195"/>
      <c r="J80" s="195">
        <f>H80+I80</f>
        <v>2112000</v>
      </c>
      <c r="K80" s="1">
        <f>'[9]Таблица 1'!R228</f>
        <v>0.06727763841378512</v>
      </c>
      <c r="L80" s="1">
        <v>0.06728</v>
      </c>
      <c r="M80" s="468">
        <f t="shared" si="25"/>
        <v>2111826.232069959</v>
      </c>
      <c r="N80" s="468"/>
      <c r="O80" s="287">
        <f t="shared" si="26"/>
        <v>2111826.2320699594</v>
      </c>
    </row>
    <row r="81" spans="1:15" ht="11.25">
      <c r="A81" s="4"/>
      <c r="B81" s="4" t="s">
        <v>110</v>
      </c>
      <c r="C81" s="180">
        <f>G44/$B$83*10</f>
        <v>0.25757514234563106</v>
      </c>
      <c r="D81" s="184">
        <f>ROUND(C81*$B$84/100,$A$64)*1000</f>
        <v>8085000</v>
      </c>
      <c r="E81" s="181">
        <f>SUM(D66:D81)</f>
        <v>21095000</v>
      </c>
      <c r="F81" s="180">
        <f>C81-'[3]Таблица 1'!$R$212</f>
        <v>0</v>
      </c>
      <c r="G81" s="182"/>
      <c r="H81" s="236">
        <f>SUM(H66:H80)</f>
        <v>13010000</v>
      </c>
      <c r="I81" s="185">
        <f>SUM(I66:I80)</f>
        <v>0</v>
      </c>
      <c r="J81" s="195">
        <f>SUM(J66:J80)</f>
        <v>13010000</v>
      </c>
      <c r="K81" s="1">
        <f>'[9]Таблица 1'!$R$212</f>
        <v>0.25757514234563095</v>
      </c>
      <c r="L81" s="1">
        <v>0.25758</v>
      </c>
      <c r="M81" s="468">
        <f t="shared" si="25"/>
        <v>8085211.597189498</v>
      </c>
      <c r="N81" s="468"/>
      <c r="O81" s="287">
        <f>G44/$B$83*$B$84*100</f>
        <v>8085211.597189502</v>
      </c>
    </row>
    <row r="82" spans="1:15" ht="12" thickBot="1">
      <c r="A82" s="4"/>
      <c r="B82" s="4" t="str">
        <f>B63</f>
        <v>итого:</v>
      </c>
      <c r="C82" s="180">
        <f>SUM(C65:C81)</f>
        <v>0.7758946967205997</v>
      </c>
      <c r="D82" s="233">
        <f>ROUND($B$84*C82/100,1)*1000</f>
        <v>24355100</v>
      </c>
      <c r="E82" s="181"/>
      <c r="F82" s="180">
        <f>C82-'[3]Таблица 1'!$R$211</f>
        <v>0</v>
      </c>
      <c r="G82" s="182"/>
      <c r="H82" s="181"/>
      <c r="I82" s="181"/>
      <c r="K82" s="1">
        <f>SUM(K66:K81)</f>
        <v>0.6720416796220574</v>
      </c>
      <c r="L82" s="1">
        <f>SUM(L66:L81)</f>
        <v>0.67206</v>
      </c>
      <c r="M82" s="468">
        <f>SUM(M66:N81)</f>
        <v>21095200.151666086</v>
      </c>
      <c r="N82" s="468"/>
      <c r="O82" s="287">
        <f>SUM(O66:O81)</f>
        <v>21095200.151666094</v>
      </c>
    </row>
    <row r="83" spans="1:5" ht="12" thickBot="1">
      <c r="A83" s="1" t="s">
        <v>84</v>
      </c>
      <c r="B83" s="174">
        <v>5268.78482</v>
      </c>
      <c r="C83" s="180">
        <f>C82-C65</f>
        <v>0.6720416796220574</v>
      </c>
      <c r="D83" s="367">
        <f>ROUND($B$84*C83/100,3)*1000+167</f>
        <v>21095367</v>
      </c>
      <c r="E83" s="234">
        <f>SUM(D66:D80)</f>
        <v>13010000</v>
      </c>
    </row>
    <row r="84" spans="1:8" ht="11.25">
      <c r="A84" s="1" t="s">
        <v>111</v>
      </c>
      <c r="B84" s="287">
        <v>3138972</v>
      </c>
      <c r="C84" s="180">
        <f>C83-C81</f>
        <v>0.41446653727642635</v>
      </c>
      <c r="D84" s="181"/>
      <c r="E84" s="235">
        <f>D83-E83</f>
        <v>8085367</v>
      </c>
      <c r="H84" s="1">
        <f>367/C83</f>
        <v>546.0970816667106</v>
      </c>
    </row>
    <row r="85" spans="3:5" ht="11.25">
      <c r="C85" s="252">
        <f>C84/C83</f>
        <v>0.6167274290331426</v>
      </c>
      <c r="E85" s="287">
        <v>21095367</v>
      </c>
    </row>
    <row r="86" ht="11.25">
      <c r="E86" s="287">
        <v>3259917</v>
      </c>
    </row>
    <row r="87" spans="2:5" ht="11.25">
      <c r="B87" s="287">
        <v>3732066.8</v>
      </c>
      <c r="E87" s="287">
        <f>SUM(E85:E86)</f>
        <v>24355284</v>
      </c>
    </row>
    <row r="88" spans="2:3" ht="11.25">
      <c r="B88" s="267">
        <f>B87/B84</f>
        <v>1.1889455528752724</v>
      </c>
      <c r="C88" s="267">
        <f>B84/B87</f>
        <v>0.841081408296336</v>
      </c>
    </row>
    <row r="89" ht="11.25">
      <c r="B89" s="287">
        <f>B87-B84</f>
        <v>593094.7999999998</v>
      </c>
    </row>
  </sheetData>
  <sheetProtection/>
  <mergeCells count="86">
    <mergeCell ref="M81:N81"/>
    <mergeCell ref="C60:F60"/>
    <mergeCell ref="M82:N82"/>
    <mergeCell ref="M72:N72"/>
    <mergeCell ref="M73:N73"/>
    <mergeCell ref="M74:N74"/>
    <mergeCell ref="M75:N75"/>
    <mergeCell ref="M76:N76"/>
    <mergeCell ref="M78:N78"/>
    <mergeCell ref="M79:N79"/>
    <mergeCell ref="M80:N80"/>
    <mergeCell ref="G63:J63"/>
    <mergeCell ref="M77:N77"/>
    <mergeCell ref="M66:N66"/>
    <mergeCell ref="M67:N67"/>
    <mergeCell ref="M68:N68"/>
    <mergeCell ref="M69:N69"/>
    <mergeCell ref="M70:N70"/>
    <mergeCell ref="M71:N71"/>
    <mergeCell ref="K63:N63"/>
    <mergeCell ref="K6:N6"/>
    <mergeCell ref="G64:J64"/>
    <mergeCell ref="C64:F64"/>
    <mergeCell ref="C52:F52"/>
    <mergeCell ref="K7:M7"/>
    <mergeCell ref="A26:N26"/>
    <mergeCell ref="A6:A7"/>
    <mergeCell ref="B6:B7"/>
    <mergeCell ref="C63:F63"/>
    <mergeCell ref="C6:F6"/>
    <mergeCell ref="G56:J56"/>
    <mergeCell ref="G57:J57"/>
    <mergeCell ref="G6:J6"/>
    <mergeCell ref="D7:F7"/>
    <mergeCell ref="H7:J7"/>
    <mergeCell ref="C53:F53"/>
    <mergeCell ref="G47:J47"/>
    <mergeCell ref="C46:F46"/>
    <mergeCell ref="G55:J55"/>
    <mergeCell ref="G46:J46"/>
    <mergeCell ref="C47:F47"/>
    <mergeCell ref="C48:F48"/>
    <mergeCell ref="G62:J62"/>
    <mergeCell ref="G53:J53"/>
    <mergeCell ref="G61:J61"/>
    <mergeCell ref="G59:J59"/>
    <mergeCell ref="C54:F54"/>
    <mergeCell ref="C55:F55"/>
    <mergeCell ref="C50:F50"/>
    <mergeCell ref="C51:F51"/>
    <mergeCell ref="K51:N51"/>
    <mergeCell ref="K52:N52"/>
    <mergeCell ref="C62:F62"/>
    <mergeCell ref="C56:F56"/>
    <mergeCell ref="C57:F57"/>
    <mergeCell ref="C58:F58"/>
    <mergeCell ref="G60:J60"/>
    <mergeCell ref="K62:N62"/>
    <mergeCell ref="C59:F59"/>
    <mergeCell ref="C61:F61"/>
    <mergeCell ref="K55:N55"/>
    <mergeCell ref="K56:N56"/>
    <mergeCell ref="K57:N57"/>
    <mergeCell ref="K58:N58"/>
    <mergeCell ref="K59:N59"/>
    <mergeCell ref="K60:N60"/>
    <mergeCell ref="K61:N61"/>
    <mergeCell ref="J1:N1"/>
    <mergeCell ref="J2:N2"/>
    <mergeCell ref="H3:N3"/>
    <mergeCell ref="B5:N5"/>
    <mergeCell ref="G52:J52"/>
    <mergeCell ref="C49:F49"/>
    <mergeCell ref="G49:J49"/>
    <mergeCell ref="K49:N49"/>
    <mergeCell ref="G48:J48"/>
    <mergeCell ref="K46:N46"/>
    <mergeCell ref="K47:N47"/>
    <mergeCell ref="K48:N48"/>
    <mergeCell ref="G54:J54"/>
    <mergeCell ref="G50:J50"/>
    <mergeCell ref="G58:J58"/>
    <mergeCell ref="K53:N53"/>
    <mergeCell ref="K54:N54"/>
    <mergeCell ref="G51:J51"/>
    <mergeCell ref="K50:N50"/>
  </mergeCells>
  <printOptions horizontalCentered="1"/>
  <pageMargins left="0" right="0" top="0" bottom="0" header="0" footer="0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3"/>
  <sheetViews>
    <sheetView view="pageBreakPreview" zoomScaleSheetLayoutView="100" zoomScalePageLayoutView="0" workbookViewId="0" topLeftCell="A7">
      <selection activeCell="L18" sqref="L18"/>
    </sheetView>
  </sheetViews>
  <sheetFormatPr defaultColWidth="9.00390625" defaultRowHeight="12.75"/>
  <cols>
    <col min="1" max="1" width="3.25390625" style="0" customWidth="1"/>
    <col min="2" max="2" width="14.625" style="0" customWidth="1"/>
    <col min="3" max="5" width="6.125" style="0" customWidth="1"/>
    <col min="6" max="6" width="7.125" style="0" customWidth="1"/>
    <col min="7" max="7" width="13.375" style="0" customWidth="1"/>
    <col min="8" max="8" width="13.625" style="0" customWidth="1"/>
    <col min="9" max="9" width="13.125" style="0" customWidth="1"/>
    <col min="10" max="10" width="13.375" style="0" bestFit="1" customWidth="1"/>
    <col min="11" max="11" width="13.25390625" style="0" customWidth="1"/>
    <col min="12" max="12" width="15.25390625" style="0" customWidth="1"/>
    <col min="13" max="13" width="2.75390625" style="0" customWidth="1"/>
    <col min="14" max="14" width="5.25390625" style="0" customWidth="1"/>
    <col min="15" max="15" width="10.25390625" style="0" customWidth="1"/>
    <col min="16" max="16" width="12.25390625" style="0" customWidth="1"/>
    <col min="17" max="17" width="10.125" style="0" customWidth="1"/>
    <col min="18" max="18" width="11.75390625" style="0" bestFit="1" customWidth="1"/>
    <col min="19" max="19" width="11.75390625" style="0" customWidth="1"/>
  </cols>
  <sheetData>
    <row r="1" spans="7:17" ht="12.75">
      <c r="G1" s="472">
        <v>2</v>
      </c>
      <c r="H1" s="473"/>
      <c r="I1" s="473"/>
      <c r="O1" s="194">
        <f>O2/G2</f>
        <v>0.4670522936841341</v>
      </c>
      <c r="P1" s="194">
        <f>P2/H2</f>
        <v>0.46705242217991005</v>
      </c>
      <c r="Q1" s="194">
        <f>Q2/I2</f>
        <v>0.46705272293826433</v>
      </c>
    </row>
    <row r="2" spans="3:17" ht="12.75">
      <c r="C2" t="s">
        <v>23</v>
      </c>
      <c r="D2" t="s">
        <v>114</v>
      </c>
      <c r="E2" t="s">
        <v>115</v>
      </c>
      <c r="F2" t="s">
        <v>52</v>
      </c>
      <c r="G2" s="192">
        <f>СодержаниеМежп!D30*G1</f>
        <v>40609.885138102494</v>
      </c>
      <c r="H2" s="192">
        <f>СодержаниеМежп!E30*G1</f>
        <v>26242.10777624183</v>
      </c>
      <c r="I2" s="192">
        <f>СодержаниеМежп!F30*G1</f>
        <v>11638.793080580175</v>
      </c>
      <c r="J2" s="192" t="s">
        <v>30</v>
      </c>
      <c r="K2" t="s">
        <v>29</v>
      </c>
      <c r="O2">
        <f>ROUND(K18/N18,2)</f>
        <v>18966.94</v>
      </c>
      <c r="P2" s="288">
        <f>ROUND(O2*ДифНорматив!E27,2)</f>
        <v>12256.44</v>
      </c>
      <c r="Q2" s="288">
        <f>ROUND(O2*ДифНорматив!F27,2)</f>
        <v>5435.93</v>
      </c>
    </row>
    <row r="3" spans="1:19" ht="26.25" customHeight="1">
      <c r="A3" s="196">
        <v>1</v>
      </c>
      <c r="B3" s="196" t="str">
        <f>ДифНорматив!B29</f>
        <v>МО "Березницкое"</v>
      </c>
      <c r="C3" s="238">
        <f>ДифНорматив!D10</f>
        <v>1.8</v>
      </c>
      <c r="D3" s="238">
        <f>ДифНорматив!E10</f>
        <v>27.25</v>
      </c>
      <c r="E3" s="238">
        <f>ДифНорматив!F10</f>
        <v>2.1499999999999986</v>
      </c>
      <c r="F3" s="239">
        <f>SUM(C3:E3)</f>
        <v>31.2</v>
      </c>
      <c r="G3" s="197">
        <f>ROUND(C3*$G$2,2)</f>
        <v>73097.79</v>
      </c>
      <c r="H3" s="197">
        <f>ROUND(D3*$H$2,2)</f>
        <v>715097.44</v>
      </c>
      <c r="I3" s="197">
        <f>ROUND(E3*$I$2,2)</f>
        <v>25023.41</v>
      </c>
      <c r="J3" s="199">
        <f>ROUND(SUM(G3:I3),2)</f>
        <v>813218.64</v>
      </c>
      <c r="K3" s="199">
        <f>ДифНорматив!J66-СодержаниеПосел!J3</f>
        <v>379781.36</v>
      </c>
      <c r="L3" s="197">
        <f aca="true" t="shared" si="0" ref="L3:L18">J3+K3</f>
        <v>1193000</v>
      </c>
      <c r="N3" s="207">
        <f>ДифНорматив!C29</f>
        <v>20.02514</v>
      </c>
      <c r="O3" s="193">
        <f>ROUND(C3*$O$2,2)</f>
        <v>34140.49</v>
      </c>
      <c r="P3" s="193">
        <f>ROUND(D3*$P$2,2)</f>
        <v>333987.99</v>
      </c>
      <c r="Q3" s="193">
        <f>ROUND(E3*$Q$2,2)</f>
        <v>11687.25</v>
      </c>
      <c r="R3" s="193">
        <f>SUM(O3:Q3)</f>
        <v>379815.73</v>
      </c>
      <c r="S3" s="290">
        <f aca="true" t="shared" si="1" ref="S3:S18">R3-K3</f>
        <v>34.36999999999534</v>
      </c>
    </row>
    <row r="4" spans="1:19" ht="26.25" customHeight="1">
      <c r="A4" s="196">
        <v>2</v>
      </c>
      <c r="B4" s="196" t="str">
        <f>ДифНорматив!B30</f>
        <v>МО "Бестужевское"</v>
      </c>
      <c r="C4" s="238">
        <f>ДифНорматив!D11</f>
        <v>1</v>
      </c>
      <c r="D4" s="238">
        <f>ДифНорматив!E11</f>
        <v>23.8</v>
      </c>
      <c r="E4" s="238">
        <f>ДифНорматив!F11</f>
        <v>1.8999999999999986</v>
      </c>
      <c r="F4" s="239">
        <f aca="true" t="shared" si="2" ref="F4:F17">SUM(C4:E4)</f>
        <v>26.7</v>
      </c>
      <c r="G4" s="197">
        <f aca="true" t="shared" si="3" ref="G4:G17">ROUND(C4*$G$2,2)</f>
        <v>40609.89</v>
      </c>
      <c r="H4" s="197">
        <f aca="true" t="shared" si="4" ref="H4:H17">ROUND(D4*$H$2,2)</f>
        <v>624562.17</v>
      </c>
      <c r="I4" s="197">
        <f aca="true" t="shared" si="5" ref="I4:I17">ROUND(E4*$I$2,2)</f>
        <v>22113.71</v>
      </c>
      <c r="J4" s="199">
        <f aca="true" t="shared" si="6" ref="J4:J17">ROUND(SUM(G4:I4),2)</f>
        <v>687285.77</v>
      </c>
      <c r="K4" s="199">
        <f>ДифНорматив!J67-СодержаниеПосел!J4</f>
        <v>320714.23</v>
      </c>
      <c r="L4" s="197">
        <f t="shared" si="0"/>
        <v>1008000</v>
      </c>
      <c r="N4" s="207">
        <f>ДифНорматив!C30</f>
        <v>16.924099999999996</v>
      </c>
      <c r="O4" s="193">
        <f aca="true" t="shared" si="7" ref="O4:O17">ROUND(C4*$O$2,2)</f>
        <v>18966.94</v>
      </c>
      <c r="P4" s="193">
        <f aca="true" t="shared" si="8" ref="P4:P17">ROUND(D4*$P$2,2)</f>
        <v>291703.27</v>
      </c>
      <c r="Q4" s="193">
        <f aca="true" t="shared" si="9" ref="Q4:Q17">ROUND(E4*$Q$2,2)</f>
        <v>10328.27</v>
      </c>
      <c r="R4" s="193">
        <f aca="true" t="shared" si="10" ref="R4:R17">SUM(O4:Q4)</f>
        <v>320998.48000000004</v>
      </c>
      <c r="S4" s="290">
        <f t="shared" si="1"/>
        <v>284.2500000000582</v>
      </c>
    </row>
    <row r="5" spans="1:19" ht="26.25" customHeight="1">
      <c r="A5" s="196">
        <v>3</v>
      </c>
      <c r="B5" s="196" t="str">
        <f>ДифНорматив!B31</f>
        <v>МО "Дмитриевское"</v>
      </c>
      <c r="C5" s="238">
        <f>ДифНорматив!D12</f>
        <v>1.6</v>
      </c>
      <c r="D5" s="238">
        <f>ДифНорматив!E12</f>
        <v>4.300000000000001</v>
      </c>
      <c r="E5" s="238">
        <f>ДифНорматив!F12</f>
        <v>17.999999999999996</v>
      </c>
      <c r="F5" s="239">
        <f t="shared" si="2"/>
        <v>23.9</v>
      </c>
      <c r="G5" s="197">
        <f t="shared" si="3"/>
        <v>64975.82</v>
      </c>
      <c r="H5" s="197">
        <f t="shared" si="4"/>
        <v>112841.06</v>
      </c>
      <c r="I5" s="197">
        <f t="shared" si="5"/>
        <v>209498.28</v>
      </c>
      <c r="J5" s="199">
        <f t="shared" si="6"/>
        <v>387315.16</v>
      </c>
      <c r="K5" s="199">
        <f>ДифНорматив!J68-СодержаниеПосел!J5</f>
        <v>180684.84000000003</v>
      </c>
      <c r="L5" s="197">
        <f t="shared" si="0"/>
        <v>568000</v>
      </c>
      <c r="N5" s="207">
        <f>ДифНорматив!C31</f>
        <v>9.53746</v>
      </c>
      <c r="O5" s="193">
        <f t="shared" si="7"/>
        <v>30347.1</v>
      </c>
      <c r="P5" s="193">
        <f t="shared" si="8"/>
        <v>52702.69</v>
      </c>
      <c r="Q5" s="193">
        <f t="shared" si="9"/>
        <v>97846.74</v>
      </c>
      <c r="R5" s="193">
        <f t="shared" si="10"/>
        <v>180896.53000000003</v>
      </c>
      <c r="S5" s="290">
        <f t="shared" si="1"/>
        <v>211.69000000000233</v>
      </c>
    </row>
    <row r="6" spans="1:19" ht="26.25" customHeight="1">
      <c r="A6" s="196">
        <v>4</v>
      </c>
      <c r="B6" s="196" t="str">
        <f>ДифНорматив!B32</f>
        <v>МО "Илезское"</v>
      </c>
      <c r="C6" s="238">
        <f>ДифНорматив!D13</f>
        <v>3.7</v>
      </c>
      <c r="D6" s="238">
        <f>ДифНорматив!E13</f>
        <v>13.2</v>
      </c>
      <c r="E6" s="238">
        <f>ДифНорматив!F13</f>
        <v>14.600000000000001</v>
      </c>
      <c r="F6" s="239">
        <f t="shared" si="2"/>
        <v>31.5</v>
      </c>
      <c r="G6" s="197">
        <f t="shared" si="3"/>
        <v>150256.58</v>
      </c>
      <c r="H6" s="197">
        <f t="shared" si="4"/>
        <v>346395.82</v>
      </c>
      <c r="I6" s="197">
        <f t="shared" si="5"/>
        <v>169926.38</v>
      </c>
      <c r="J6" s="199">
        <f t="shared" si="6"/>
        <v>666578.78</v>
      </c>
      <c r="K6" s="199">
        <f>ДифНорматив!J69-СодержаниеПосел!J6</f>
        <v>311421.22</v>
      </c>
      <c r="L6" s="197">
        <f t="shared" si="0"/>
        <v>978000</v>
      </c>
      <c r="N6" s="207">
        <f>ДифНорматив!C32</f>
        <v>16.4142</v>
      </c>
      <c r="O6" s="193">
        <f t="shared" si="7"/>
        <v>70177.68</v>
      </c>
      <c r="P6" s="193">
        <f t="shared" si="8"/>
        <v>161785.01</v>
      </c>
      <c r="Q6" s="193">
        <f t="shared" si="9"/>
        <v>79364.58</v>
      </c>
      <c r="R6" s="193">
        <f t="shared" si="10"/>
        <v>311327.27</v>
      </c>
      <c r="S6" s="290">
        <f t="shared" si="1"/>
        <v>-93.94999999995343</v>
      </c>
    </row>
    <row r="7" spans="1:19" ht="26.25" customHeight="1">
      <c r="A7" s="196">
        <v>5</v>
      </c>
      <c r="B7" s="196" t="str">
        <f>ДифНорматив!B33</f>
        <v>МО "Киземское"</v>
      </c>
      <c r="C7" s="238">
        <f>ДифНорматив!D14</f>
        <v>3.3</v>
      </c>
      <c r="D7" s="238">
        <f>ДифНорматив!E14</f>
        <v>7.2</v>
      </c>
      <c r="E7" s="238">
        <f>ДифНорматив!F14</f>
        <v>29.400000000000002</v>
      </c>
      <c r="F7" s="239">
        <f t="shared" si="2"/>
        <v>39.900000000000006</v>
      </c>
      <c r="G7" s="197">
        <f t="shared" si="3"/>
        <v>134012.62</v>
      </c>
      <c r="H7" s="197">
        <f t="shared" si="4"/>
        <v>188943.18</v>
      </c>
      <c r="I7" s="197">
        <f t="shared" si="5"/>
        <v>342180.52</v>
      </c>
      <c r="J7" s="199">
        <f t="shared" si="6"/>
        <v>665136.32</v>
      </c>
      <c r="K7" s="199">
        <f>ДифНорматив!J70-СодержаниеПосел!J7</f>
        <v>310863.68000000005</v>
      </c>
      <c r="L7" s="197">
        <f t="shared" si="0"/>
        <v>976000</v>
      </c>
      <c r="N7" s="207">
        <f>ДифНорматив!C33</f>
        <v>16.37868</v>
      </c>
      <c r="O7" s="193">
        <f t="shared" si="7"/>
        <v>62590.9</v>
      </c>
      <c r="P7" s="193">
        <f t="shared" si="8"/>
        <v>88246.37</v>
      </c>
      <c r="Q7" s="193">
        <f t="shared" si="9"/>
        <v>159816.34</v>
      </c>
      <c r="R7" s="193">
        <f t="shared" si="10"/>
        <v>310653.61</v>
      </c>
      <c r="S7" s="290">
        <f t="shared" si="1"/>
        <v>-210.0700000000652</v>
      </c>
    </row>
    <row r="8" spans="1:19" ht="26.25" customHeight="1">
      <c r="A8" s="196">
        <v>6</v>
      </c>
      <c r="B8" s="196" t="str">
        <f>ДифНорматив!B34</f>
        <v>МО "Лихачевское"</v>
      </c>
      <c r="C8" s="238">
        <f>ДифНорматив!D15</f>
        <v>0</v>
      </c>
      <c r="D8" s="238">
        <f>ДифНорматив!E15</f>
        <v>10.5</v>
      </c>
      <c r="E8" s="238">
        <f>ДифНорматив!F15</f>
        <v>17.1</v>
      </c>
      <c r="F8" s="239">
        <f t="shared" si="2"/>
        <v>27.6</v>
      </c>
      <c r="G8" s="197">
        <f t="shared" si="3"/>
        <v>0</v>
      </c>
      <c r="H8" s="197">
        <f t="shared" si="4"/>
        <v>275542.13</v>
      </c>
      <c r="I8" s="197">
        <f t="shared" si="5"/>
        <v>199023.36</v>
      </c>
      <c r="J8" s="199">
        <f t="shared" si="6"/>
        <v>474565.49</v>
      </c>
      <c r="K8" s="199">
        <f>ДифНорматив!J71-СодержаниеПосел!J8</f>
        <v>221434.51</v>
      </c>
      <c r="L8" s="197">
        <f t="shared" si="0"/>
        <v>696000</v>
      </c>
      <c r="N8" s="207">
        <f>ДифНорматив!C34</f>
        <v>11.685960000000001</v>
      </c>
      <c r="O8" s="193">
        <f t="shared" si="7"/>
        <v>0</v>
      </c>
      <c r="P8" s="193">
        <f t="shared" si="8"/>
        <v>128692.62</v>
      </c>
      <c r="Q8" s="193">
        <f t="shared" si="9"/>
        <v>92954.4</v>
      </c>
      <c r="R8" s="193">
        <f t="shared" si="10"/>
        <v>221647.02</v>
      </c>
      <c r="S8" s="290">
        <f t="shared" si="1"/>
        <v>212.5099999999802</v>
      </c>
    </row>
    <row r="9" spans="1:19" ht="26.25" customHeight="1">
      <c r="A9" s="196">
        <v>7</v>
      </c>
      <c r="B9" s="196" t="str">
        <f>ДифНорматив!B35</f>
        <v>МО "Лойгинское"</v>
      </c>
      <c r="C9" s="238">
        <f>ДифНорматив!D16</f>
        <v>5</v>
      </c>
      <c r="D9" s="238">
        <f>ДифНорматив!E16</f>
        <v>8.9</v>
      </c>
      <c r="E9" s="238">
        <f>ДифНорматив!F16</f>
        <v>6.6</v>
      </c>
      <c r="F9" s="239">
        <f t="shared" si="2"/>
        <v>20.5</v>
      </c>
      <c r="G9" s="197">
        <f t="shared" si="3"/>
        <v>203049.43</v>
      </c>
      <c r="H9" s="197">
        <f t="shared" si="4"/>
        <v>233554.76</v>
      </c>
      <c r="I9" s="197">
        <f t="shared" si="5"/>
        <v>76816.03</v>
      </c>
      <c r="J9" s="199">
        <f t="shared" si="6"/>
        <v>513420.22</v>
      </c>
      <c r="K9" s="199">
        <f>ДифНорматив!J72-СодержаниеПосел!J9</f>
        <v>239579.78000000003</v>
      </c>
      <c r="L9" s="197">
        <f t="shared" si="0"/>
        <v>753000</v>
      </c>
      <c r="N9" s="207">
        <f>ДифНорматив!C35</f>
        <v>12.642740000000002</v>
      </c>
      <c r="O9" s="193">
        <f t="shared" si="7"/>
        <v>94834.7</v>
      </c>
      <c r="P9" s="193">
        <f t="shared" si="8"/>
        <v>109082.32</v>
      </c>
      <c r="Q9" s="193">
        <f t="shared" si="9"/>
        <v>35877.14</v>
      </c>
      <c r="R9" s="193">
        <f t="shared" si="10"/>
        <v>239794.16000000003</v>
      </c>
      <c r="S9" s="290">
        <f t="shared" si="1"/>
        <v>214.38000000000466</v>
      </c>
    </row>
    <row r="10" spans="1:19" ht="26.25" customHeight="1">
      <c r="A10" s="196">
        <v>8</v>
      </c>
      <c r="B10" s="196" t="str">
        <f>ДифНорматив!B36</f>
        <v>МО "Малодорское"</v>
      </c>
      <c r="C10" s="238">
        <f>ДифНорматив!D17</f>
        <v>3.8</v>
      </c>
      <c r="D10" s="238">
        <f>ДифНорматив!E17</f>
        <v>15.899999999999999</v>
      </c>
      <c r="E10" s="238">
        <f>ДифНорматив!F17</f>
        <v>0</v>
      </c>
      <c r="F10" s="239">
        <f t="shared" si="2"/>
        <v>19.7</v>
      </c>
      <c r="G10" s="197">
        <f t="shared" si="3"/>
        <v>154317.56</v>
      </c>
      <c r="H10" s="197">
        <f t="shared" si="4"/>
        <v>417249.51</v>
      </c>
      <c r="I10" s="197">
        <f t="shared" si="5"/>
        <v>0</v>
      </c>
      <c r="J10" s="199">
        <f t="shared" si="6"/>
        <v>571567.07</v>
      </c>
      <c r="K10" s="199">
        <f>ДифНорматив!J73-СодержаниеПосел!J10</f>
        <v>267432.93000000005</v>
      </c>
      <c r="L10" s="197">
        <f t="shared" si="0"/>
        <v>839000</v>
      </c>
      <c r="N10" s="207">
        <f>ДифНорматив!C36</f>
        <v>14.074579999999997</v>
      </c>
      <c r="O10" s="193">
        <f t="shared" si="7"/>
        <v>72074.37</v>
      </c>
      <c r="P10" s="193">
        <f t="shared" si="8"/>
        <v>194877.4</v>
      </c>
      <c r="Q10" s="193">
        <f t="shared" si="9"/>
        <v>0</v>
      </c>
      <c r="R10" s="193">
        <f t="shared" si="10"/>
        <v>266951.77</v>
      </c>
      <c r="S10" s="290">
        <f t="shared" si="1"/>
        <v>-481.1600000000326</v>
      </c>
    </row>
    <row r="11" spans="1:19" ht="26.25" customHeight="1">
      <c r="A11" s="196">
        <v>9</v>
      </c>
      <c r="B11" s="196" t="str">
        <f>ДифНорматив!B37</f>
        <v>МО "Орловское"</v>
      </c>
      <c r="C11" s="238">
        <f>ДифНорматив!D18</f>
        <v>0.3</v>
      </c>
      <c r="D11" s="238">
        <f>ДифНорматив!E18</f>
        <v>7.4</v>
      </c>
      <c r="E11" s="238">
        <f>ДифНорматив!F18</f>
        <v>3.799999999999999</v>
      </c>
      <c r="F11" s="239">
        <f t="shared" si="2"/>
        <v>11.5</v>
      </c>
      <c r="G11" s="197">
        <f t="shared" si="3"/>
        <v>12182.97</v>
      </c>
      <c r="H11" s="197">
        <f t="shared" si="4"/>
        <v>194191.6</v>
      </c>
      <c r="I11" s="197">
        <f t="shared" si="5"/>
        <v>44227.41</v>
      </c>
      <c r="J11" s="199">
        <f t="shared" si="6"/>
        <v>250601.98</v>
      </c>
      <c r="K11" s="199">
        <f>ДифНорматив!J74-СодержаниеПосел!J11</f>
        <v>117398.01999999999</v>
      </c>
      <c r="L11" s="197">
        <f t="shared" si="0"/>
        <v>368000</v>
      </c>
      <c r="N11" s="207">
        <f>ДифНорматив!C37</f>
        <v>6.17096</v>
      </c>
      <c r="O11" s="193">
        <f t="shared" si="7"/>
        <v>5690.08</v>
      </c>
      <c r="P11" s="193">
        <f t="shared" si="8"/>
        <v>90697.66</v>
      </c>
      <c r="Q11" s="193">
        <f t="shared" si="9"/>
        <v>20656.53</v>
      </c>
      <c r="R11" s="193">
        <f t="shared" si="10"/>
        <v>117044.27</v>
      </c>
      <c r="S11" s="290">
        <f t="shared" si="1"/>
        <v>-353.74999999998545</v>
      </c>
    </row>
    <row r="12" spans="1:19" ht="26.25" customHeight="1">
      <c r="A12" s="196">
        <v>10</v>
      </c>
      <c r="B12" s="196" t="str">
        <f>ДифНорматив!B38</f>
        <v>МО "Плосское"</v>
      </c>
      <c r="C12" s="238">
        <f>ДифНорматив!D19</f>
        <v>1.1</v>
      </c>
      <c r="D12" s="238">
        <f>ДифНорматив!E19</f>
        <v>18.4</v>
      </c>
      <c r="E12" s="238">
        <f>ДифНорматив!F19</f>
        <v>2.3999999999999986</v>
      </c>
      <c r="F12" s="239">
        <f t="shared" si="2"/>
        <v>21.9</v>
      </c>
      <c r="G12" s="197">
        <f t="shared" si="3"/>
        <v>44670.87</v>
      </c>
      <c r="H12" s="197">
        <f t="shared" si="4"/>
        <v>482854.78</v>
      </c>
      <c r="I12" s="197">
        <f t="shared" si="5"/>
        <v>27933.1</v>
      </c>
      <c r="J12" s="199">
        <f t="shared" si="6"/>
        <v>555458.75</v>
      </c>
      <c r="K12" s="199">
        <f>ДифНорматив!J75-СодержаниеПосел!J12</f>
        <v>259541.25</v>
      </c>
      <c r="L12" s="197">
        <f t="shared" si="0"/>
        <v>815000</v>
      </c>
      <c r="N12" s="207">
        <f>ДифНорматив!C38</f>
        <v>13.677919999999999</v>
      </c>
      <c r="O12" s="193">
        <f t="shared" si="7"/>
        <v>20863.63</v>
      </c>
      <c r="P12" s="193">
        <f t="shared" si="8"/>
        <v>225518.5</v>
      </c>
      <c r="Q12" s="193">
        <f t="shared" si="9"/>
        <v>13046.23</v>
      </c>
      <c r="R12" s="193">
        <f t="shared" si="10"/>
        <v>259428.36000000002</v>
      </c>
      <c r="S12" s="290">
        <f t="shared" si="1"/>
        <v>-112.88999999998487</v>
      </c>
    </row>
    <row r="13" spans="1:19" ht="26.25" customHeight="1">
      <c r="A13" s="196">
        <v>11</v>
      </c>
      <c r="B13" s="196" t="str">
        <f>ДифНорматив!B39</f>
        <v>МО "Ростовско - Минское"</v>
      </c>
      <c r="C13" s="238">
        <f>ДифНорматив!D20</f>
        <v>1.3</v>
      </c>
      <c r="D13" s="238">
        <f>ДифНорматив!E20</f>
        <v>15.099999999999998</v>
      </c>
      <c r="E13" s="238">
        <f>ДифНорматив!F20</f>
        <v>20.500000000000004</v>
      </c>
      <c r="F13" s="239">
        <f t="shared" si="2"/>
        <v>36.900000000000006</v>
      </c>
      <c r="G13" s="197">
        <f t="shared" si="3"/>
        <v>52792.85</v>
      </c>
      <c r="H13" s="197">
        <f t="shared" si="4"/>
        <v>396255.83</v>
      </c>
      <c r="I13" s="197">
        <f t="shared" si="5"/>
        <v>238595.26</v>
      </c>
      <c r="J13" s="199">
        <f t="shared" si="6"/>
        <v>687643.94</v>
      </c>
      <c r="K13" s="199">
        <f>ДифНорматив!J76-СодержаниеПосел!J13</f>
        <v>321356.06000000006</v>
      </c>
      <c r="L13" s="197">
        <f t="shared" si="0"/>
        <v>1009000</v>
      </c>
      <c r="N13" s="207">
        <f>ДифНорматив!C39</f>
        <v>16.932920000000003</v>
      </c>
      <c r="O13" s="193">
        <f t="shared" si="7"/>
        <v>24657.02</v>
      </c>
      <c r="P13" s="193">
        <f t="shared" si="8"/>
        <v>185072.24</v>
      </c>
      <c r="Q13" s="193">
        <f t="shared" si="9"/>
        <v>111436.57</v>
      </c>
      <c r="R13" s="193">
        <f t="shared" si="10"/>
        <v>321165.82999999996</v>
      </c>
      <c r="S13" s="290">
        <f t="shared" si="1"/>
        <v>-190.2300000000978</v>
      </c>
    </row>
    <row r="14" spans="1:19" ht="26.25" customHeight="1">
      <c r="A14" s="196">
        <v>12</v>
      </c>
      <c r="B14" s="196" t="str">
        <f>ДифНорматив!B40</f>
        <v>МО "Синицкое"</v>
      </c>
      <c r="C14" s="238">
        <f>ДифНорматив!D21</f>
        <v>0</v>
      </c>
      <c r="D14" s="238">
        <f>ДифНорматив!E21</f>
        <v>12</v>
      </c>
      <c r="E14" s="238">
        <f>ДифНорматив!F21</f>
        <v>0</v>
      </c>
      <c r="F14" s="239">
        <f t="shared" si="2"/>
        <v>12</v>
      </c>
      <c r="G14" s="197">
        <f t="shared" si="3"/>
        <v>0</v>
      </c>
      <c r="H14" s="197">
        <f t="shared" si="4"/>
        <v>314905.29</v>
      </c>
      <c r="I14" s="197">
        <f t="shared" si="5"/>
        <v>0</v>
      </c>
      <c r="J14" s="199">
        <f t="shared" si="6"/>
        <v>314905.29</v>
      </c>
      <c r="K14" s="199">
        <f>ДифНорматив!J77-СодержаниеПосел!J14</f>
        <v>147094.71000000002</v>
      </c>
      <c r="L14" s="197">
        <f t="shared" si="0"/>
        <v>462000</v>
      </c>
      <c r="N14" s="207">
        <f>ДифНорматив!C40</f>
        <v>7.7544</v>
      </c>
      <c r="O14" s="193">
        <f t="shared" si="7"/>
        <v>0</v>
      </c>
      <c r="P14" s="193">
        <f t="shared" si="8"/>
        <v>147077.28</v>
      </c>
      <c r="Q14" s="193">
        <f t="shared" si="9"/>
        <v>0</v>
      </c>
      <c r="R14" s="193">
        <f t="shared" si="10"/>
        <v>147077.28</v>
      </c>
      <c r="S14" s="290">
        <f t="shared" si="1"/>
        <v>-17.43000000002212</v>
      </c>
    </row>
    <row r="15" spans="1:19" ht="26.25" customHeight="1">
      <c r="A15" s="196">
        <v>13</v>
      </c>
      <c r="B15" s="196" t="str">
        <f>ДифНорматив!B41</f>
        <v>МО "Строевское"</v>
      </c>
      <c r="C15" s="238">
        <f>ДифНорматив!D22</f>
        <v>0.1</v>
      </c>
      <c r="D15" s="238">
        <f>ДифНорматив!E22</f>
        <v>18</v>
      </c>
      <c r="E15" s="238">
        <f>ДифНорматив!F22</f>
        <v>4.299999999999997</v>
      </c>
      <c r="F15" s="239">
        <f t="shared" si="2"/>
        <v>22.4</v>
      </c>
      <c r="G15" s="197">
        <f t="shared" si="3"/>
        <v>4060.99</v>
      </c>
      <c r="H15" s="197">
        <f t="shared" si="4"/>
        <v>472357.94</v>
      </c>
      <c r="I15" s="197">
        <f t="shared" si="5"/>
        <v>50046.81</v>
      </c>
      <c r="J15" s="199">
        <f t="shared" si="6"/>
        <v>526465.74</v>
      </c>
      <c r="K15" s="199">
        <f>ДифНорматив!J78-СодержаниеПосел!J15</f>
        <v>245534.26</v>
      </c>
      <c r="L15" s="197">
        <f t="shared" si="0"/>
        <v>772000</v>
      </c>
      <c r="N15" s="207">
        <f>ДифНорматив!C41</f>
        <v>12.96398</v>
      </c>
      <c r="O15" s="193">
        <f t="shared" si="7"/>
        <v>1896.69</v>
      </c>
      <c r="P15" s="193">
        <f t="shared" si="8"/>
        <v>220615.92</v>
      </c>
      <c r="Q15" s="193">
        <f t="shared" si="9"/>
        <v>23374.5</v>
      </c>
      <c r="R15" s="193">
        <f t="shared" si="10"/>
        <v>245887.11000000002</v>
      </c>
      <c r="S15" s="290">
        <f t="shared" si="1"/>
        <v>352.8500000000058</v>
      </c>
    </row>
    <row r="16" spans="1:19" ht="26.25" customHeight="1">
      <c r="A16" s="196">
        <v>14</v>
      </c>
      <c r="B16" s="196" t="str">
        <f>ДифНорматив!B42</f>
        <v>МО "Череновское"</v>
      </c>
      <c r="C16" s="238">
        <f>ДифНорматив!D23</f>
        <v>0</v>
      </c>
      <c r="D16" s="238">
        <f>ДифНорматив!E23</f>
        <v>9.1</v>
      </c>
      <c r="E16" s="238">
        <f>ДифНорматив!F23</f>
        <v>6.5</v>
      </c>
      <c r="F16" s="239">
        <f t="shared" si="2"/>
        <v>15.6</v>
      </c>
      <c r="G16" s="197">
        <f t="shared" si="3"/>
        <v>0</v>
      </c>
      <c r="H16" s="197">
        <f t="shared" si="4"/>
        <v>238803.18</v>
      </c>
      <c r="I16" s="197">
        <f t="shared" si="5"/>
        <v>75652.16</v>
      </c>
      <c r="J16" s="199">
        <f t="shared" si="6"/>
        <v>314455.34</v>
      </c>
      <c r="K16" s="199">
        <f>ДифНорматив!J79-СодержаниеПосел!J16</f>
        <v>146544.65999999997</v>
      </c>
      <c r="L16" s="197">
        <f t="shared" si="0"/>
        <v>461000</v>
      </c>
      <c r="N16" s="207">
        <f>ДифНорматив!C42</f>
        <v>7.743320000000001</v>
      </c>
      <c r="O16" s="193">
        <f t="shared" si="7"/>
        <v>0</v>
      </c>
      <c r="P16" s="193">
        <f t="shared" si="8"/>
        <v>111533.6</v>
      </c>
      <c r="Q16" s="193">
        <f t="shared" si="9"/>
        <v>35333.55</v>
      </c>
      <c r="R16" s="193">
        <f t="shared" si="10"/>
        <v>146867.15000000002</v>
      </c>
      <c r="S16" s="290">
        <f t="shared" si="1"/>
        <v>322.4900000000489</v>
      </c>
    </row>
    <row r="17" spans="1:19" ht="26.25" customHeight="1">
      <c r="A17" s="196">
        <v>15</v>
      </c>
      <c r="B17" s="196" t="str">
        <f>ДифНорматив!B43</f>
        <v>МО "Шангальское"</v>
      </c>
      <c r="C17" s="238">
        <f>ДифНорматив!D24</f>
        <v>12.5</v>
      </c>
      <c r="D17" s="238">
        <f>ДифНорматив!E24</f>
        <v>30.1</v>
      </c>
      <c r="E17" s="238">
        <f>ДифНорматив!F24</f>
        <v>12.199999999999996</v>
      </c>
      <c r="F17" s="239">
        <f t="shared" si="2"/>
        <v>54.8</v>
      </c>
      <c r="G17" s="197">
        <f t="shared" si="3"/>
        <v>507623.56</v>
      </c>
      <c r="H17" s="197">
        <f t="shared" si="4"/>
        <v>789887.44</v>
      </c>
      <c r="I17" s="197">
        <f t="shared" si="5"/>
        <v>141993.28</v>
      </c>
      <c r="J17" s="199">
        <f t="shared" si="6"/>
        <v>1439504.28</v>
      </c>
      <c r="K17" s="199">
        <f>ДифНорматив!J80-СодержаниеПосел!J17</f>
        <v>672495.72</v>
      </c>
      <c r="L17" s="197">
        <f t="shared" si="0"/>
        <v>2112000</v>
      </c>
      <c r="N17" s="207">
        <f>ДифНорматив!C43</f>
        <v>35.44714</v>
      </c>
      <c r="O17" s="193">
        <f t="shared" si="7"/>
        <v>237086.75</v>
      </c>
      <c r="P17" s="193">
        <f t="shared" si="8"/>
        <v>368918.84</v>
      </c>
      <c r="Q17" s="193">
        <f t="shared" si="9"/>
        <v>66318.35</v>
      </c>
      <c r="R17" s="193">
        <f t="shared" si="10"/>
        <v>672323.9400000001</v>
      </c>
      <c r="S17" s="290">
        <f t="shared" si="1"/>
        <v>-171.77999999991152</v>
      </c>
    </row>
    <row r="18" spans="1:19" ht="26.25" customHeight="1">
      <c r="A18" s="196"/>
      <c r="B18" s="196"/>
      <c r="C18" s="240"/>
      <c r="D18" s="240"/>
      <c r="E18" s="240"/>
      <c r="F18" s="239">
        <f>SUM(F3:F17)</f>
        <v>396.09999999999997</v>
      </c>
      <c r="G18" s="196"/>
      <c r="H18" s="196"/>
      <c r="I18" s="196"/>
      <c r="J18" s="199">
        <f>SUM(J3:J17)</f>
        <v>8868122.770000001</v>
      </c>
      <c r="K18" s="199">
        <f>SUM(K3:K17)</f>
        <v>4141877.2300000004</v>
      </c>
      <c r="L18" s="198">
        <f t="shared" si="0"/>
        <v>13010000.000000002</v>
      </c>
      <c r="N18" s="207">
        <f>SUM(N3:N17)</f>
        <v>218.37349999999998</v>
      </c>
      <c r="R18" s="193">
        <f>SUM(R3:R17)</f>
        <v>4141878.51</v>
      </c>
      <c r="S18" s="193">
        <f t="shared" si="1"/>
        <v>1.2799999993294477</v>
      </c>
    </row>
    <row r="19" spans="10:14" ht="12.75">
      <c r="J19" s="246"/>
      <c r="K19" s="247"/>
      <c r="L19" s="246"/>
      <c r="N19" s="193"/>
    </row>
    <row r="20" spans="7:14" ht="12.75">
      <c r="G20" s="193">
        <f>C17*G2</f>
        <v>507623.5642262812</v>
      </c>
      <c r="J20" s="248"/>
      <c r="K20" s="248"/>
      <c r="L20" s="249"/>
      <c r="N20" s="192"/>
    </row>
    <row r="21" spans="6:7" ht="12.75">
      <c r="F21" s="207"/>
      <c r="G21" s="193">
        <f>D17*H2</f>
        <v>789887.4440648792</v>
      </c>
    </row>
    <row r="22" spans="7:10" ht="12.75">
      <c r="G22" s="193">
        <f>E17*I2</f>
        <v>141993.2755830781</v>
      </c>
      <c r="I22" s="193"/>
      <c r="J22" s="289"/>
    </row>
    <row r="23" ht="12.75">
      <c r="G23" s="193">
        <f>SUM(G20:G22)</f>
        <v>1439504.2838742386</v>
      </c>
    </row>
  </sheetData>
  <sheetProtection/>
  <mergeCells count="1">
    <mergeCell ref="G1:I1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0"/>
  <sheetViews>
    <sheetView view="pageBreakPreview" zoomScaleSheetLayoutView="100" zoomScalePageLayoutView="0" workbookViewId="0" topLeftCell="B6">
      <selection activeCell="E17" sqref="E17:F17"/>
    </sheetView>
  </sheetViews>
  <sheetFormatPr defaultColWidth="8.625" defaultRowHeight="18" customHeight="1"/>
  <cols>
    <col min="1" max="1" width="8.625" style="74" customWidth="1"/>
    <col min="2" max="2" width="33.75390625" style="74" customWidth="1"/>
    <col min="3" max="3" width="15.00390625" style="74" customWidth="1"/>
    <col min="4" max="4" width="11.75390625" style="74" customWidth="1"/>
    <col min="5" max="5" width="13.125" style="74" customWidth="1"/>
    <col min="6" max="6" width="15.625" style="74" customWidth="1"/>
    <col min="7" max="7" width="22.00390625" style="74" customWidth="1"/>
    <col min="8" max="8" width="15.625" style="74" customWidth="1"/>
    <col min="9" max="9" width="19.75390625" style="74" customWidth="1"/>
    <col min="10" max="10" width="13.75390625" style="11" customWidth="1"/>
    <col min="11" max="11" width="14.25390625" style="11" customWidth="1"/>
    <col min="12" max="12" width="9.875" style="11" bestFit="1" customWidth="1"/>
    <col min="13" max="16384" width="8.625" style="11" customWidth="1"/>
  </cols>
  <sheetData>
    <row r="1" spans="1:8" ht="18" customHeight="1">
      <c r="A1" s="442"/>
      <c r="B1" s="442"/>
      <c r="C1" s="442"/>
      <c r="D1" s="442"/>
      <c r="E1" s="442"/>
      <c r="F1" s="442"/>
      <c r="G1" s="139"/>
      <c r="H1" s="11"/>
    </row>
    <row r="2" spans="1:8" ht="18" customHeight="1">
      <c r="A2" s="442"/>
      <c r="B2" s="442"/>
      <c r="C2" s="442"/>
      <c r="D2" s="442"/>
      <c r="E2" s="442"/>
      <c r="F2" s="442"/>
      <c r="G2" s="139"/>
      <c r="H2" s="138"/>
    </row>
    <row r="3" spans="1:8" ht="18" customHeight="1">
      <c r="A3" s="443"/>
      <c r="B3" s="443"/>
      <c r="C3" s="443"/>
      <c r="D3" s="443"/>
      <c r="E3" s="443"/>
      <c r="F3" s="443"/>
      <c r="G3" s="145"/>
      <c r="H3" s="144"/>
    </row>
    <row r="5" spans="1:7" ht="59.25" customHeight="1">
      <c r="A5" s="481" t="s">
        <v>89</v>
      </c>
      <c r="B5" s="482"/>
      <c r="C5" s="482"/>
      <c r="D5" s="482"/>
      <c r="E5" s="482"/>
      <c r="F5" s="482"/>
      <c r="G5" s="200"/>
    </row>
    <row r="6" spans="1:7" ht="16.5" customHeight="1">
      <c r="A6" s="148"/>
      <c r="B6" s="149"/>
      <c r="C6" s="149"/>
      <c r="D6" s="149"/>
      <c r="E6" s="149"/>
      <c r="F6" s="149"/>
      <c r="G6" s="200"/>
    </row>
    <row r="7" spans="1:8" ht="18" customHeight="1">
      <c r="A7" s="483" t="s">
        <v>18</v>
      </c>
      <c r="B7" s="483" t="s">
        <v>2</v>
      </c>
      <c r="C7" s="484" t="s">
        <v>20</v>
      </c>
      <c r="D7" s="484"/>
      <c r="E7" s="484"/>
      <c r="F7" s="484"/>
      <c r="G7" s="120"/>
      <c r="H7" s="120"/>
    </row>
    <row r="8" spans="1:8" ht="39.75" customHeight="1">
      <c r="A8" s="483"/>
      <c r="B8" s="483"/>
      <c r="C8" s="478" t="s">
        <v>121</v>
      </c>
      <c r="D8" s="478"/>
      <c r="E8" s="479" t="s">
        <v>70</v>
      </c>
      <c r="F8" s="480"/>
      <c r="G8" s="120"/>
      <c r="H8" s="120"/>
    </row>
    <row r="9" spans="1:12" s="24" customFormat="1" ht="18" customHeight="1">
      <c r="A9" s="76">
        <v>1</v>
      </c>
      <c r="B9" s="77" t="s">
        <v>11</v>
      </c>
      <c r="C9" s="485">
        <f>ДифНорматив!G28</f>
        <v>9.537580000000002</v>
      </c>
      <c r="D9" s="486"/>
      <c r="E9" s="474">
        <f>ROUND(H9,1)*1000+100</f>
        <v>193800</v>
      </c>
      <c r="F9" s="474"/>
      <c r="G9" s="202">
        <f>E9-H9</f>
        <v>193606.33998585228</v>
      </c>
      <c r="H9" s="475">
        <f>$E$25/1000/$C$25*C9</f>
        <v>193.66001414773183</v>
      </c>
      <c r="I9" s="476"/>
      <c r="J9" s="110"/>
      <c r="K9" s="110">
        <f>E9-'[4]Содержание'!E9</f>
        <v>23697</v>
      </c>
      <c r="L9" s="111">
        <f>E9/'[4]Содержание'!E9</f>
        <v>1.1393097123507523</v>
      </c>
    </row>
    <row r="10" spans="1:12" s="24" customFormat="1" ht="18" customHeight="1">
      <c r="A10" s="76">
        <v>2</v>
      </c>
      <c r="B10" s="77" t="s">
        <v>3</v>
      </c>
      <c r="C10" s="485">
        <f>ДифНорматив!G29</f>
        <v>1.1053</v>
      </c>
      <c r="D10" s="486"/>
      <c r="E10" s="474">
        <f aca="true" t="shared" si="0" ref="E10:E23">ROUND(H10,1)*1000</f>
        <v>22400</v>
      </c>
      <c r="F10" s="474"/>
      <c r="G10" s="202">
        <f aca="true" t="shared" si="1" ref="G10:G24">E10-H10</f>
        <v>22377.556946978428</v>
      </c>
      <c r="H10" s="475">
        <f aca="true" t="shared" si="2" ref="H10:H24">$E$25/1000/$C$25*C10</f>
        <v>22.44305302157234</v>
      </c>
      <c r="I10" s="476"/>
      <c r="K10" s="110">
        <f>E10-'[4]Содержание'!E10</f>
        <v>1509</v>
      </c>
      <c r="L10" s="111">
        <f>E10/'[4]Содержание'!E10</f>
        <v>1.0722320616533436</v>
      </c>
    </row>
    <row r="11" spans="1:12" s="24" customFormat="1" ht="18" customHeight="1">
      <c r="A11" s="76">
        <v>3</v>
      </c>
      <c r="B11" s="77" t="s">
        <v>4</v>
      </c>
      <c r="C11" s="485">
        <f>ДифНорматив!G30</f>
        <v>12.994299999999999</v>
      </c>
      <c r="D11" s="486"/>
      <c r="E11" s="474">
        <f t="shared" si="0"/>
        <v>263800</v>
      </c>
      <c r="F11" s="474"/>
      <c r="G11" s="202">
        <f t="shared" si="1"/>
        <v>263536.15148477495</v>
      </c>
      <c r="H11" s="475">
        <f t="shared" si="2"/>
        <v>263.8485152250226</v>
      </c>
      <c r="I11" s="476"/>
      <c r="K11" s="110">
        <f>E11-'[4]Содержание'!E11</f>
        <v>16478</v>
      </c>
      <c r="L11" s="111">
        <f>E11/'[4]Содержание'!E11</f>
        <v>1.0666256944388288</v>
      </c>
    </row>
    <row r="12" spans="1:12" s="24" customFormat="1" ht="18" customHeight="1">
      <c r="A12" s="76">
        <v>4</v>
      </c>
      <c r="B12" s="77" t="s">
        <v>5</v>
      </c>
      <c r="C12" s="485">
        <f>ДифНорматив!G31</f>
        <v>3.0171400000000004</v>
      </c>
      <c r="D12" s="486"/>
      <c r="E12" s="474">
        <f t="shared" si="0"/>
        <v>61300</v>
      </c>
      <c r="F12" s="474"/>
      <c r="G12" s="202">
        <f t="shared" si="1"/>
        <v>61238.737145577215</v>
      </c>
      <c r="H12" s="475">
        <f t="shared" si="2"/>
        <v>61.262854422787285</v>
      </c>
      <c r="I12" s="476"/>
      <c r="K12" s="110">
        <f>E12-'[4]Содержание'!E12</f>
        <v>6532</v>
      </c>
      <c r="L12" s="111">
        <f>E12/'[4]Содержание'!E12</f>
        <v>1.119266725094946</v>
      </c>
    </row>
    <row r="13" spans="1:12" ht="18" customHeight="1">
      <c r="A13" s="76">
        <v>5</v>
      </c>
      <c r="B13" s="78" t="s">
        <v>6</v>
      </c>
      <c r="C13" s="485">
        <f>ДифНорматив!G32</f>
        <v>23.50822</v>
      </c>
      <c r="D13" s="486"/>
      <c r="E13" s="474">
        <f t="shared" si="0"/>
        <v>477300</v>
      </c>
      <c r="F13" s="474"/>
      <c r="G13" s="202">
        <f t="shared" si="1"/>
        <v>476822.66694299935</v>
      </c>
      <c r="H13" s="475">
        <f t="shared" si="2"/>
        <v>477.3330570006219</v>
      </c>
      <c r="I13" s="476"/>
      <c r="K13" s="110">
        <f>E13-'[4]Содержание'!E13</f>
        <v>49688</v>
      </c>
      <c r="L13" s="111">
        <f>E13/'[4]Содержание'!E13</f>
        <v>1.1161987970403076</v>
      </c>
    </row>
    <row r="14" spans="1:12" s="24" customFormat="1" ht="18" customHeight="1">
      <c r="A14" s="76">
        <v>6</v>
      </c>
      <c r="B14" s="77" t="s">
        <v>7</v>
      </c>
      <c r="C14" s="485">
        <f>ДифНорматив!G33</f>
        <v>0</v>
      </c>
      <c r="D14" s="486"/>
      <c r="E14" s="474">
        <f t="shared" si="0"/>
        <v>0</v>
      </c>
      <c r="F14" s="474"/>
      <c r="G14" s="202">
        <f t="shared" si="1"/>
        <v>0</v>
      </c>
      <c r="H14" s="475">
        <f t="shared" si="2"/>
        <v>0</v>
      </c>
      <c r="I14" s="476"/>
      <c r="K14" s="110"/>
      <c r="L14" s="111"/>
    </row>
    <row r="15" spans="1:12" s="24" customFormat="1" ht="18" customHeight="1">
      <c r="A15" s="76">
        <v>7</v>
      </c>
      <c r="B15" s="77" t="s">
        <v>8</v>
      </c>
      <c r="C15" s="485">
        <f>ДифНорматив!G34</f>
        <v>6.4512</v>
      </c>
      <c r="D15" s="486"/>
      <c r="E15" s="474">
        <f t="shared" si="0"/>
        <v>131000</v>
      </c>
      <c r="F15" s="474"/>
      <c r="G15" s="202">
        <f t="shared" si="1"/>
        <v>130869.00875449854</v>
      </c>
      <c r="H15" s="475">
        <f t="shared" si="2"/>
        <v>130.9912455014634</v>
      </c>
      <c r="I15" s="476"/>
      <c r="K15" s="110">
        <f>E15-'[4]Содержание'!E15</f>
        <v>13264</v>
      </c>
      <c r="L15" s="111">
        <f>E15/'[4]Содержание'!E15</f>
        <v>1.112658829924577</v>
      </c>
    </row>
    <row r="16" spans="1:12" s="24" customFormat="1" ht="18" customHeight="1">
      <c r="A16" s="76">
        <v>8</v>
      </c>
      <c r="B16" s="77" t="s">
        <v>9</v>
      </c>
      <c r="C16" s="485">
        <f>ДифНорматив!G35</f>
        <v>3.7544600000000004</v>
      </c>
      <c r="D16" s="486"/>
      <c r="E16" s="474">
        <f t="shared" si="0"/>
        <v>76200</v>
      </c>
      <c r="F16" s="474"/>
      <c r="G16" s="202">
        <f t="shared" si="1"/>
        <v>76123.7659053222</v>
      </c>
      <c r="H16" s="475">
        <f t="shared" si="2"/>
        <v>76.23409467780014</v>
      </c>
      <c r="I16" s="476"/>
      <c r="K16" s="110">
        <f>E16-'[4]Содержание'!E16</f>
        <v>8471</v>
      </c>
      <c r="L16" s="111">
        <f>E16/'[4]Содержание'!E16</f>
        <v>1.1250719780300904</v>
      </c>
    </row>
    <row r="17" spans="1:12" s="24" customFormat="1" ht="18" customHeight="1">
      <c r="A17" s="76">
        <v>9</v>
      </c>
      <c r="B17" s="77" t="s">
        <v>10</v>
      </c>
      <c r="C17" s="485">
        <f>ДифНорматив!G36</f>
        <v>18.45852</v>
      </c>
      <c r="D17" s="486"/>
      <c r="E17" s="474">
        <f t="shared" si="0"/>
        <v>374800</v>
      </c>
      <c r="F17" s="474"/>
      <c r="G17" s="202">
        <f t="shared" si="1"/>
        <v>374425.2008114903</v>
      </c>
      <c r="H17" s="475">
        <f t="shared" si="2"/>
        <v>374.7991885096838</v>
      </c>
      <c r="I17" s="476"/>
      <c r="K17" s="110">
        <f>E17-'[4]Содержание'!E17</f>
        <v>27740</v>
      </c>
      <c r="L17" s="111">
        <f>E17/'[4]Содержание'!E17</f>
        <v>1.0799285426151097</v>
      </c>
    </row>
    <row r="18" spans="1:12" s="24" customFormat="1" ht="18" customHeight="1">
      <c r="A18" s="76">
        <v>10</v>
      </c>
      <c r="B18" s="77" t="s">
        <v>12</v>
      </c>
      <c r="C18" s="485">
        <f>ДифНорматив!G37</f>
        <v>0.40124</v>
      </c>
      <c r="D18" s="486"/>
      <c r="E18" s="474">
        <f t="shared" si="0"/>
        <v>8100</v>
      </c>
      <c r="F18" s="474"/>
      <c r="G18" s="202">
        <f t="shared" si="1"/>
        <v>8091.852844843594</v>
      </c>
      <c r="H18" s="475">
        <f t="shared" si="2"/>
        <v>8.147155156406122</v>
      </c>
      <c r="I18" s="476"/>
      <c r="K18" s="110">
        <f>E18-'[4]Содержание'!E18</f>
        <v>862</v>
      </c>
      <c r="L18" s="111">
        <f>E18/'[4]Содержание'!E18</f>
        <v>1.1190936722851617</v>
      </c>
    </row>
    <row r="19" spans="1:12" s="24" customFormat="1" ht="18" customHeight="1">
      <c r="A19" s="76">
        <v>11</v>
      </c>
      <c r="B19" s="77" t="s">
        <v>13</v>
      </c>
      <c r="C19" s="485">
        <f>ДифНорматив!G38</f>
        <v>4.8722</v>
      </c>
      <c r="D19" s="486"/>
      <c r="E19" s="474">
        <f t="shared" si="0"/>
        <v>98900</v>
      </c>
      <c r="F19" s="474"/>
      <c r="G19" s="202">
        <f t="shared" si="1"/>
        <v>98801.07025881507</v>
      </c>
      <c r="H19" s="475">
        <f t="shared" si="2"/>
        <v>98.92974118493149</v>
      </c>
      <c r="I19" s="476"/>
      <c r="K19" s="110">
        <f>E19-'[4]Содержание'!E19</f>
        <v>11007</v>
      </c>
      <c r="L19" s="111">
        <f>E19/'[4]Содержание'!E19</f>
        <v>1.12523181595804</v>
      </c>
    </row>
    <row r="20" spans="1:12" s="24" customFormat="1" ht="18" customHeight="1">
      <c r="A20" s="76">
        <v>12</v>
      </c>
      <c r="B20" s="77" t="s">
        <v>26</v>
      </c>
      <c r="C20" s="485">
        <f>ДифНорматив!G39</f>
        <v>22.80334</v>
      </c>
      <c r="D20" s="486"/>
      <c r="E20" s="474">
        <f t="shared" si="0"/>
        <v>463000</v>
      </c>
      <c r="F20" s="474"/>
      <c r="G20" s="202">
        <f t="shared" si="1"/>
        <v>462536.97949091747</v>
      </c>
      <c r="H20" s="475">
        <f t="shared" si="2"/>
        <v>463.020509082549</v>
      </c>
      <c r="I20" s="476"/>
      <c r="K20" s="110">
        <f>E20-'[4]Содержание'!E20</f>
        <v>45861</v>
      </c>
      <c r="L20" s="111">
        <f>E20/'[4]Содержание'!E20</f>
        <v>1.109941770009517</v>
      </c>
    </row>
    <row r="21" spans="1:12" s="24" customFormat="1" ht="18" customHeight="1">
      <c r="A21" s="76">
        <v>13</v>
      </c>
      <c r="B21" s="77" t="s">
        <v>14</v>
      </c>
      <c r="C21" s="485">
        <f>ДифНорматив!G40</f>
        <v>3.6582000000000003</v>
      </c>
      <c r="D21" s="486"/>
      <c r="E21" s="474">
        <f t="shared" si="0"/>
        <v>74300</v>
      </c>
      <c r="F21" s="474"/>
      <c r="G21" s="202">
        <f t="shared" si="1"/>
        <v>74225.72045909389</v>
      </c>
      <c r="H21" s="475">
        <f t="shared" si="2"/>
        <v>74.27954090610328</v>
      </c>
      <c r="I21" s="476"/>
      <c r="K21" s="110">
        <f>E21-'[4]Содержание'!E21</f>
        <v>6269</v>
      </c>
      <c r="L21" s="111">
        <f>E21/'[4]Содержание'!E21</f>
        <v>1.092149167291382</v>
      </c>
    </row>
    <row r="22" spans="1:12" s="24" customFormat="1" ht="18" customHeight="1">
      <c r="A22" s="76">
        <v>14</v>
      </c>
      <c r="B22" s="77" t="s">
        <v>15</v>
      </c>
      <c r="C22" s="485">
        <f>ДифНорматив!G41</f>
        <v>16.8661</v>
      </c>
      <c r="D22" s="486"/>
      <c r="E22" s="474">
        <f t="shared" si="0"/>
        <v>342500</v>
      </c>
      <c r="F22" s="474"/>
      <c r="G22" s="202">
        <f t="shared" si="1"/>
        <v>342157.5348081361</v>
      </c>
      <c r="H22" s="475">
        <f t="shared" si="2"/>
        <v>342.4651918638752</v>
      </c>
      <c r="I22" s="476"/>
      <c r="K22" s="110">
        <f>E22-'[4]Содержание'!E22</f>
        <v>23973</v>
      </c>
      <c r="L22" s="111">
        <f>E22/'[4]Содержание'!E22</f>
        <v>1.0752620656961576</v>
      </c>
    </row>
    <row r="23" spans="1:12" s="24" customFormat="1" ht="18" customHeight="1">
      <c r="A23" s="76">
        <v>15</v>
      </c>
      <c r="B23" s="77" t="s">
        <v>16</v>
      </c>
      <c r="C23" s="485">
        <f>ДифНорматив!G42</f>
        <v>0.7165</v>
      </c>
      <c r="D23" s="486"/>
      <c r="E23" s="474">
        <f t="shared" si="0"/>
        <v>14500</v>
      </c>
      <c r="F23" s="474"/>
      <c r="G23" s="202">
        <f t="shared" si="1"/>
        <v>14485.451508649276</v>
      </c>
      <c r="H23" s="475">
        <f t="shared" si="2"/>
        <v>14.548491350725218</v>
      </c>
      <c r="I23" s="476"/>
      <c r="K23" s="110">
        <f>E23-'[4]Содержание'!E23</f>
        <v>1575</v>
      </c>
      <c r="L23" s="111">
        <f>E23/'[4]Содержание'!E23</f>
        <v>1.1218568665377175</v>
      </c>
    </row>
    <row r="24" spans="1:12" s="24" customFormat="1" ht="18" customHeight="1">
      <c r="A24" s="76">
        <v>16</v>
      </c>
      <c r="B24" s="77" t="s">
        <v>17</v>
      </c>
      <c r="C24" s="485">
        <f>ДифНорматив!G43</f>
        <v>7.5665000000000004</v>
      </c>
      <c r="D24" s="486"/>
      <c r="E24" s="474">
        <f>ROUND(H24,1)*1000+100</f>
        <v>153700</v>
      </c>
      <c r="F24" s="474"/>
      <c r="G24" s="202">
        <f t="shared" si="1"/>
        <v>153546.36265205126</v>
      </c>
      <c r="H24" s="475">
        <f t="shared" si="2"/>
        <v>153.63734794872627</v>
      </c>
      <c r="I24" s="476"/>
      <c r="K24" s="110">
        <f>E24-'[4]Содержание'!E24</f>
        <v>13466</v>
      </c>
      <c r="L24" s="111">
        <f>E24/'[4]Содержание'!E24</f>
        <v>1.0960252149977894</v>
      </c>
    </row>
    <row r="25" spans="1:11" s="32" customFormat="1" ht="18" customHeight="1">
      <c r="A25" s="79"/>
      <c r="B25" s="79" t="s">
        <v>27</v>
      </c>
      <c r="C25" s="485">
        <f>ДифНорматив!G44</f>
        <v>135.7108</v>
      </c>
      <c r="D25" s="486"/>
      <c r="E25" s="489">
        <f>РасчетРайону!E10</f>
        <v>2755600</v>
      </c>
      <c r="F25" s="490"/>
      <c r="G25" s="205"/>
      <c r="H25" s="477">
        <f>SUM(H9:I24)</f>
        <v>2755.5999999999995</v>
      </c>
      <c r="I25" s="477"/>
      <c r="K25" s="110"/>
    </row>
    <row r="26" spans="1:9" s="32" customFormat="1" ht="18" customHeight="1">
      <c r="A26" s="450"/>
      <c r="B26" s="450"/>
      <c r="C26" s="450"/>
      <c r="D26" s="450"/>
      <c r="E26" s="450"/>
      <c r="F26" s="450"/>
      <c r="G26" s="206"/>
      <c r="H26" s="121"/>
      <c r="I26" s="80"/>
    </row>
    <row r="27" spans="1:9" s="32" customFormat="1" ht="18" customHeight="1">
      <c r="A27" s="487" t="s">
        <v>18</v>
      </c>
      <c r="B27" s="487" t="s">
        <v>2</v>
      </c>
      <c r="C27" s="488" t="s">
        <v>20</v>
      </c>
      <c r="D27" s="488"/>
      <c r="E27" s="488"/>
      <c r="F27" s="488"/>
      <c r="G27" s="120"/>
      <c r="H27" s="120"/>
      <c r="I27" s="80"/>
    </row>
    <row r="28" spans="1:9" s="32" customFormat="1" ht="18" customHeight="1">
      <c r="A28" s="483"/>
      <c r="B28" s="483"/>
      <c r="C28" s="75"/>
      <c r="D28" s="484" t="s">
        <v>53</v>
      </c>
      <c r="E28" s="484"/>
      <c r="F28" s="484"/>
      <c r="G28" s="120"/>
      <c r="H28" s="120"/>
      <c r="I28" s="80"/>
    </row>
    <row r="29" spans="1:9" s="32" customFormat="1" ht="18" customHeight="1">
      <c r="A29" s="81"/>
      <c r="B29" s="82"/>
      <c r="C29" s="83"/>
      <c r="D29" s="83" t="s">
        <v>23</v>
      </c>
      <c r="E29" s="83" t="s">
        <v>24</v>
      </c>
      <c r="F29" s="83" t="s">
        <v>25</v>
      </c>
      <c r="G29" s="122"/>
      <c r="H29" s="122"/>
      <c r="I29" s="80"/>
    </row>
    <row r="30" spans="1:9" s="32" customFormat="1" ht="18" customHeight="1">
      <c r="A30" s="81"/>
      <c r="B30" s="82" t="s">
        <v>123</v>
      </c>
      <c r="C30" s="245">
        <f>E25/ДифНорматив!G25</f>
        <v>7703.66228683254</v>
      </c>
      <c r="D30" s="158">
        <f>РасчетРайону!E10/ДифНорматив!G44</f>
        <v>20304.942569051247</v>
      </c>
      <c r="E30" s="158">
        <f>D30*ДифНорматив!E27</f>
        <v>13121.053888120916</v>
      </c>
      <c r="F30" s="158">
        <f>D30*ДифНорматив!F27</f>
        <v>5819.396540290088</v>
      </c>
      <c r="G30" s="123"/>
      <c r="H30" s="123"/>
      <c r="I30" s="201"/>
    </row>
    <row r="31" spans="1:9" s="32" customFormat="1" ht="18" customHeight="1">
      <c r="A31" s="81"/>
      <c r="B31" s="82"/>
      <c r="C31" s="157"/>
      <c r="D31" s="161">
        <v>1</v>
      </c>
      <c r="E31" s="162">
        <f>E30/D30</f>
        <v>0.6462</v>
      </c>
      <c r="F31" s="162">
        <f>F30/D30</f>
        <v>0.2866</v>
      </c>
      <c r="G31" s="203"/>
      <c r="H31" s="123"/>
      <c r="I31" s="80"/>
    </row>
    <row r="32" spans="1:9" s="32" customFormat="1" ht="18" customHeight="1">
      <c r="A32" s="81"/>
      <c r="B32" s="82" t="s">
        <v>122</v>
      </c>
      <c r="C32" s="244">
        <f>'[4]Содержание'!$G$30</f>
        <v>7003.649217321745</v>
      </c>
      <c r="D32" s="160">
        <v>17063.19</v>
      </c>
      <c r="E32" s="160">
        <v>12336.69</v>
      </c>
      <c r="F32" s="160">
        <v>5170.15</v>
      </c>
      <c r="G32" s="204"/>
      <c r="H32" s="123"/>
      <c r="I32" s="80"/>
    </row>
    <row r="33" spans="1:9" s="32" customFormat="1" ht="18" customHeight="1">
      <c r="A33" s="81"/>
      <c r="B33" s="82" t="s">
        <v>124</v>
      </c>
      <c r="C33" s="83">
        <f>C30/C32</f>
        <v>1.0999497615870726</v>
      </c>
      <c r="D33" s="159">
        <f>D30/D32</f>
        <v>1.189985141644162</v>
      </c>
      <c r="E33" s="159">
        <f>E30/E32</f>
        <v>1.0635797680026746</v>
      </c>
      <c r="F33" s="159">
        <f>F30/F32</f>
        <v>1.125575958200456</v>
      </c>
      <c r="G33" s="124"/>
      <c r="H33" s="124"/>
      <c r="I33" s="80"/>
    </row>
    <row r="34" spans="1:12" ht="18" customHeight="1">
      <c r="A34" s="76">
        <v>1</v>
      </c>
      <c r="B34" s="77" t="s">
        <v>11</v>
      </c>
      <c r="C34" s="84">
        <f>ДифНорматив!G9</f>
        <v>28.3</v>
      </c>
      <c r="D34" s="85">
        <f>ДифНорматив!H9</f>
        <v>2</v>
      </c>
      <c r="E34" s="85">
        <f>ДифНорматив!I9</f>
        <v>0</v>
      </c>
      <c r="F34" s="85">
        <f>ДифНорматив!J9</f>
        <v>26.3</v>
      </c>
      <c r="G34" s="125"/>
      <c r="H34" s="125">
        <f>D34*$D$30</f>
        <v>40609.885138102494</v>
      </c>
      <c r="I34" s="125">
        <f>E34*$E$30</f>
        <v>0</v>
      </c>
      <c r="J34" s="125">
        <f>F34*$F$30</f>
        <v>153050.1290096293</v>
      </c>
      <c r="K34" s="242">
        <f>SUM(H34:J34)</f>
        <v>193660.0141477318</v>
      </c>
      <c r="L34" s="45">
        <f>E9-K34</f>
        <v>139.98585226820433</v>
      </c>
    </row>
    <row r="35" spans="1:12" ht="18" customHeight="1">
      <c r="A35" s="76">
        <v>2</v>
      </c>
      <c r="B35" s="77" t="s">
        <v>3</v>
      </c>
      <c r="C35" s="84">
        <f>ДифНорматив!G10</f>
        <v>2.0999999999999996</v>
      </c>
      <c r="D35" s="85">
        <f>ДифНорматив!H10</f>
        <v>0</v>
      </c>
      <c r="E35" s="85">
        <f>ДифНорматив!I10</f>
        <v>1.4</v>
      </c>
      <c r="F35" s="85">
        <f>ДифНорматив!J10</f>
        <v>0.7</v>
      </c>
      <c r="G35" s="125"/>
      <c r="H35" s="125">
        <f aca="true" t="shared" si="3" ref="H35:H49">D35*$D$30</f>
        <v>0</v>
      </c>
      <c r="I35" s="125">
        <f aca="true" t="shared" si="4" ref="I35:I49">E35*$E$30</f>
        <v>18369.47544336928</v>
      </c>
      <c r="J35" s="125">
        <f aca="true" t="shared" si="5" ref="J35:J49">F35*$F$30</f>
        <v>4073.577578203061</v>
      </c>
      <c r="K35" s="241">
        <f aca="true" t="shared" si="6" ref="K35:K50">SUM(H35:J35)</f>
        <v>22443.05302157234</v>
      </c>
      <c r="L35" s="45">
        <f aca="true" t="shared" si="7" ref="L35:L49">E10-K35</f>
        <v>-43.053021572341095</v>
      </c>
    </row>
    <row r="36" spans="1:12" ht="18" customHeight="1">
      <c r="A36" s="76">
        <v>3</v>
      </c>
      <c r="B36" s="77" t="s">
        <v>4</v>
      </c>
      <c r="C36" s="84">
        <f>ДифНорматив!G11</f>
        <v>21.5</v>
      </c>
      <c r="D36" s="85">
        <f>ДифНорматив!H11</f>
        <v>0</v>
      </c>
      <c r="E36" s="85">
        <f>ДифНорматив!I11</f>
        <v>19</v>
      </c>
      <c r="F36" s="85">
        <f>ДифНорматив!J11</f>
        <v>2.5</v>
      </c>
      <c r="G36" s="125"/>
      <c r="H36" s="125">
        <f t="shared" si="3"/>
        <v>0</v>
      </c>
      <c r="I36" s="125">
        <f t="shared" si="4"/>
        <v>249300.0238742974</v>
      </c>
      <c r="J36" s="125">
        <f t="shared" si="5"/>
        <v>14548.491350725219</v>
      </c>
      <c r="K36" s="241">
        <f t="shared" si="6"/>
        <v>263848.5152250226</v>
      </c>
      <c r="L36" s="45">
        <f t="shared" si="7"/>
        <v>-48.51522502262378</v>
      </c>
    </row>
    <row r="37" spans="1:12" ht="18" customHeight="1">
      <c r="A37" s="76">
        <v>4</v>
      </c>
      <c r="B37" s="77" t="s">
        <v>5</v>
      </c>
      <c r="C37" s="84">
        <f>ДифНорматив!G12</f>
        <v>9.9</v>
      </c>
      <c r="D37" s="85">
        <f>ДифНорматив!H12</f>
        <v>0</v>
      </c>
      <c r="E37" s="85">
        <f>ДифНорматив!I12</f>
        <v>0.5</v>
      </c>
      <c r="F37" s="85">
        <f>ДифНорматив!J12</f>
        <v>9.4</v>
      </c>
      <c r="G37" s="125"/>
      <c r="H37" s="125">
        <f t="shared" si="3"/>
        <v>0</v>
      </c>
      <c r="I37" s="125">
        <f t="shared" si="4"/>
        <v>6560.526944060458</v>
      </c>
      <c r="J37" s="125">
        <f t="shared" si="5"/>
        <v>54702.327478726824</v>
      </c>
      <c r="K37" s="241">
        <f t="shared" si="6"/>
        <v>61262.854422787284</v>
      </c>
      <c r="L37" s="45">
        <f t="shared" si="7"/>
        <v>37.14557721271558</v>
      </c>
    </row>
    <row r="38" spans="1:12" ht="18" customHeight="1">
      <c r="A38" s="76">
        <v>5</v>
      </c>
      <c r="B38" s="78" t="s">
        <v>6</v>
      </c>
      <c r="C38" s="84">
        <f>ДифНорматив!G13</f>
        <v>75.5</v>
      </c>
      <c r="D38" s="85">
        <f>ДифНорматив!H13</f>
        <v>0</v>
      </c>
      <c r="E38" s="85">
        <f>ДифНорматив!I13</f>
        <v>5.2</v>
      </c>
      <c r="F38" s="85">
        <f>ДифНорматив!J13</f>
        <v>70.3</v>
      </c>
      <c r="G38" s="125"/>
      <c r="H38" s="125">
        <f t="shared" si="3"/>
        <v>0</v>
      </c>
      <c r="I38" s="125">
        <f t="shared" si="4"/>
        <v>68229.48021822877</v>
      </c>
      <c r="J38" s="125">
        <f t="shared" si="5"/>
        <v>409103.57678239315</v>
      </c>
      <c r="K38" s="241">
        <f t="shared" si="6"/>
        <v>477333.0570006219</v>
      </c>
      <c r="L38" s="45">
        <f t="shared" si="7"/>
        <v>-33.05700062192045</v>
      </c>
    </row>
    <row r="39" spans="1:12" ht="18" customHeight="1">
      <c r="A39" s="76">
        <v>6</v>
      </c>
      <c r="B39" s="77" t="s">
        <v>7</v>
      </c>
      <c r="C39" s="84">
        <f>ДифНорматив!G14</f>
        <v>0</v>
      </c>
      <c r="D39" s="85">
        <f>ДифНорматив!H14</f>
        <v>0</v>
      </c>
      <c r="E39" s="85">
        <f>ДифНорматив!I14</f>
        <v>0</v>
      </c>
      <c r="F39" s="85">
        <f>ДифНорматив!J14</f>
        <v>0</v>
      </c>
      <c r="G39" s="125"/>
      <c r="H39" s="125">
        <f t="shared" si="3"/>
        <v>0</v>
      </c>
      <c r="I39" s="125">
        <f t="shared" si="4"/>
        <v>0</v>
      </c>
      <c r="J39" s="125">
        <f t="shared" si="5"/>
        <v>0</v>
      </c>
      <c r="K39" s="241">
        <f t="shared" si="6"/>
        <v>0</v>
      </c>
      <c r="L39" s="45">
        <f t="shared" si="7"/>
        <v>0</v>
      </c>
    </row>
    <row r="40" spans="1:12" ht="18" customHeight="1">
      <c r="A40" s="76">
        <v>7</v>
      </c>
      <c r="B40" s="77" t="s">
        <v>8</v>
      </c>
      <c r="C40" s="84">
        <f>ДифНорматив!G15</f>
        <v>20</v>
      </c>
      <c r="D40" s="85">
        <f>ДифНорматив!H15</f>
        <v>0</v>
      </c>
      <c r="E40" s="85">
        <f>ДифНорматив!I15</f>
        <v>2</v>
      </c>
      <c r="F40" s="85">
        <f>ДифНорматив!J15</f>
        <v>18</v>
      </c>
      <c r="G40" s="125"/>
      <c r="H40" s="125">
        <f t="shared" si="3"/>
        <v>0</v>
      </c>
      <c r="I40" s="125">
        <f t="shared" si="4"/>
        <v>26242.10777624183</v>
      </c>
      <c r="J40" s="125">
        <f t="shared" si="5"/>
        <v>104749.13772522158</v>
      </c>
      <c r="K40" s="241">
        <f t="shared" si="6"/>
        <v>130991.2455014634</v>
      </c>
      <c r="L40" s="45">
        <f t="shared" si="7"/>
        <v>8.754498536596657</v>
      </c>
    </row>
    <row r="41" spans="1:12" ht="18" customHeight="1">
      <c r="A41" s="76">
        <v>8</v>
      </c>
      <c r="B41" s="77" t="s">
        <v>9</v>
      </c>
      <c r="C41" s="84">
        <f>ДифНорматив!G16</f>
        <v>13.1</v>
      </c>
      <c r="D41" s="85">
        <f>ДифНорматив!H16</f>
        <v>0</v>
      </c>
      <c r="E41" s="85">
        <f>ДифНорматив!I16</f>
        <v>0</v>
      </c>
      <c r="F41" s="85">
        <f>ДифНорматив!J16</f>
        <v>13.1</v>
      </c>
      <c r="G41" s="125"/>
      <c r="H41" s="125">
        <f t="shared" si="3"/>
        <v>0</v>
      </c>
      <c r="I41" s="125">
        <f t="shared" si="4"/>
        <v>0</v>
      </c>
      <c r="J41" s="125">
        <f t="shared" si="5"/>
        <v>76234.09467780015</v>
      </c>
      <c r="K41" s="241">
        <f t="shared" si="6"/>
        <v>76234.09467780015</v>
      </c>
      <c r="L41" s="45">
        <f t="shared" si="7"/>
        <v>-34.09467780015257</v>
      </c>
    </row>
    <row r="42" spans="1:12" ht="18" customHeight="1">
      <c r="A42" s="76">
        <v>9</v>
      </c>
      <c r="B42" s="77" t="s">
        <v>10</v>
      </c>
      <c r="C42" s="84">
        <f>ДифНорматив!G17</f>
        <v>36.5</v>
      </c>
      <c r="D42" s="85">
        <f>ДифНорматив!H17</f>
        <v>0.6</v>
      </c>
      <c r="E42" s="85">
        <f>ДифНорматив!I17</f>
        <v>21.05</v>
      </c>
      <c r="F42" s="85">
        <f>ДифНорматив!J17</f>
        <v>14.85</v>
      </c>
      <c r="G42" s="125"/>
      <c r="H42" s="125">
        <f t="shared" si="3"/>
        <v>12182.965541430747</v>
      </c>
      <c r="I42" s="125">
        <f t="shared" si="4"/>
        <v>276198.1843449453</v>
      </c>
      <c r="J42" s="125">
        <f t="shared" si="5"/>
        <v>86418.0386233078</v>
      </c>
      <c r="K42" s="241">
        <f t="shared" si="6"/>
        <v>374799.1885096838</v>
      </c>
      <c r="L42" s="45">
        <f t="shared" si="7"/>
        <v>0.811490316176787</v>
      </c>
    </row>
    <row r="43" spans="1:12" ht="18" customHeight="1">
      <c r="A43" s="76">
        <v>10</v>
      </c>
      <c r="B43" s="77" t="s">
        <v>12</v>
      </c>
      <c r="C43" s="84">
        <f>ДифНорматив!G18</f>
        <v>1.4</v>
      </c>
      <c r="D43" s="85">
        <f>ДифНорматив!H18</f>
        <v>0</v>
      </c>
      <c r="E43" s="85">
        <f>ДифНорматив!I18</f>
        <v>0</v>
      </c>
      <c r="F43" s="85">
        <f>ДифНорматив!J18</f>
        <v>1.4</v>
      </c>
      <c r="G43" s="125"/>
      <c r="H43" s="125">
        <f t="shared" si="3"/>
        <v>0</v>
      </c>
      <c r="I43" s="125">
        <f t="shared" si="4"/>
        <v>0</v>
      </c>
      <c r="J43" s="125">
        <f t="shared" si="5"/>
        <v>8147.155156406122</v>
      </c>
      <c r="K43" s="241">
        <f t="shared" si="6"/>
        <v>8147.155156406122</v>
      </c>
      <c r="L43" s="45">
        <f t="shared" si="7"/>
        <v>-47.15515640612193</v>
      </c>
    </row>
    <row r="44" spans="1:12" ht="18" customHeight="1">
      <c r="A44" s="76">
        <v>11</v>
      </c>
      <c r="B44" s="77" t="s">
        <v>13</v>
      </c>
      <c r="C44" s="84">
        <f>ДифНорматив!G19</f>
        <v>17</v>
      </c>
      <c r="D44" s="85">
        <f>ДифНорматив!H19</f>
        <v>0</v>
      </c>
      <c r="E44" s="85">
        <f>ДифНорматив!I19</f>
        <v>0</v>
      </c>
      <c r="F44" s="85">
        <f>ДифНорматив!J19</f>
        <v>17</v>
      </c>
      <c r="G44" s="125"/>
      <c r="H44" s="125">
        <f t="shared" si="3"/>
        <v>0</v>
      </c>
      <c r="I44" s="125">
        <f t="shared" si="4"/>
        <v>0</v>
      </c>
      <c r="J44" s="125">
        <f t="shared" si="5"/>
        <v>98929.7411849315</v>
      </c>
      <c r="K44" s="241">
        <f t="shared" si="6"/>
        <v>98929.7411849315</v>
      </c>
      <c r="L44" s="45">
        <f t="shared" si="7"/>
        <v>-29.74118493149581</v>
      </c>
    </row>
    <row r="45" spans="1:12" ht="18" customHeight="1">
      <c r="A45" s="76">
        <v>12</v>
      </c>
      <c r="B45" s="77" t="s">
        <v>26</v>
      </c>
      <c r="C45" s="84">
        <f>ДифНорматив!G20</f>
        <v>68.9</v>
      </c>
      <c r="D45" s="85">
        <f>ДифНорматив!H20</f>
        <v>0</v>
      </c>
      <c r="E45" s="85">
        <f>ДифНорматив!I20</f>
        <v>8.5</v>
      </c>
      <c r="F45" s="85">
        <f>ДифНорматив!J20</f>
        <v>60.4</v>
      </c>
      <c r="G45" s="125"/>
      <c r="H45" s="125">
        <f t="shared" si="3"/>
        <v>0</v>
      </c>
      <c r="I45" s="125">
        <f t="shared" si="4"/>
        <v>111528.95804902779</v>
      </c>
      <c r="J45" s="125">
        <f t="shared" si="5"/>
        <v>351491.5510335213</v>
      </c>
      <c r="K45" s="241">
        <f t="shared" si="6"/>
        <v>463020.5090825491</v>
      </c>
      <c r="L45" s="45">
        <f t="shared" si="7"/>
        <v>-20.509082549076993</v>
      </c>
    </row>
    <row r="46" spans="1:12" ht="18" customHeight="1">
      <c r="A46" s="76">
        <v>13</v>
      </c>
      <c r="B46" s="77" t="s">
        <v>14</v>
      </c>
      <c r="C46" s="84">
        <f>ДифНорматив!G21</f>
        <v>9</v>
      </c>
      <c r="D46" s="85">
        <f>ДифНорматив!H21</f>
        <v>0</v>
      </c>
      <c r="E46" s="85">
        <f>ДифНорматив!I21</f>
        <v>3</v>
      </c>
      <c r="F46" s="85">
        <f>ДифНорматив!J21</f>
        <v>6</v>
      </c>
      <c r="G46" s="125"/>
      <c r="H46" s="125">
        <f t="shared" si="3"/>
        <v>0</v>
      </c>
      <c r="I46" s="125">
        <f t="shared" si="4"/>
        <v>39363.16166436275</v>
      </c>
      <c r="J46" s="125">
        <f t="shared" si="5"/>
        <v>34916.37924174053</v>
      </c>
      <c r="K46" s="241">
        <f t="shared" si="6"/>
        <v>74279.54090610327</v>
      </c>
      <c r="L46" s="45">
        <f t="shared" si="7"/>
        <v>20.459093896730337</v>
      </c>
    </row>
    <row r="47" spans="1:12" ht="18" customHeight="1">
      <c r="A47" s="76">
        <v>14</v>
      </c>
      <c r="B47" s="77" t="s">
        <v>15</v>
      </c>
      <c r="C47" s="84">
        <f>ДифНорматив!G22</f>
        <v>32.5</v>
      </c>
      <c r="D47" s="85">
        <f>ДифНорматив!H22</f>
        <v>0</v>
      </c>
      <c r="E47" s="85">
        <f>ДифНорматив!I22</f>
        <v>21</v>
      </c>
      <c r="F47" s="85">
        <f>ДифНорматив!J22</f>
        <v>11.5</v>
      </c>
      <c r="G47" s="125"/>
      <c r="H47" s="125">
        <f t="shared" si="3"/>
        <v>0</v>
      </c>
      <c r="I47" s="125">
        <f t="shared" si="4"/>
        <v>275542.13165053923</v>
      </c>
      <c r="J47" s="125">
        <f t="shared" si="5"/>
        <v>66923.06021333601</v>
      </c>
      <c r="K47" s="241">
        <f t="shared" si="6"/>
        <v>342465.19186387525</v>
      </c>
      <c r="L47" s="45">
        <f t="shared" si="7"/>
        <v>34.80813612474594</v>
      </c>
    </row>
    <row r="48" spans="1:12" ht="18" customHeight="1">
      <c r="A48" s="76">
        <v>15</v>
      </c>
      <c r="B48" s="77" t="s">
        <v>16</v>
      </c>
      <c r="C48" s="84">
        <f>ДифНорматив!G23</f>
        <v>2.5</v>
      </c>
      <c r="D48" s="85">
        <f>ДифНорматив!H23</f>
        <v>0</v>
      </c>
      <c r="E48" s="85">
        <f>ДифНорматив!I23</f>
        <v>0</v>
      </c>
      <c r="F48" s="85">
        <f>ДифНорматив!J23</f>
        <v>2.5</v>
      </c>
      <c r="G48" s="125"/>
      <c r="H48" s="125">
        <f t="shared" si="3"/>
        <v>0</v>
      </c>
      <c r="I48" s="125">
        <f t="shared" si="4"/>
        <v>0</v>
      </c>
      <c r="J48" s="125">
        <f t="shared" si="5"/>
        <v>14548.491350725219</v>
      </c>
      <c r="K48" s="241">
        <f t="shared" si="6"/>
        <v>14548.491350725219</v>
      </c>
      <c r="L48" s="45">
        <f t="shared" si="7"/>
        <v>-48.49135072521858</v>
      </c>
    </row>
    <row r="49" spans="1:12" ht="18" customHeight="1">
      <c r="A49" s="76">
        <v>16</v>
      </c>
      <c r="B49" s="77" t="s">
        <v>17</v>
      </c>
      <c r="C49" s="84">
        <f>ДифНорматив!G24</f>
        <v>19.5</v>
      </c>
      <c r="D49" s="85">
        <f>ДифНорматив!H24</f>
        <v>0</v>
      </c>
      <c r="E49" s="85">
        <f>ДифНорматив!I24</f>
        <v>5.5</v>
      </c>
      <c r="F49" s="85">
        <f>ДифНорматив!J24</f>
        <v>14</v>
      </c>
      <c r="G49" s="125"/>
      <c r="H49" s="125">
        <f t="shared" si="3"/>
        <v>0</v>
      </c>
      <c r="I49" s="125">
        <f t="shared" si="4"/>
        <v>72165.79638466504</v>
      </c>
      <c r="J49" s="125">
        <f t="shared" si="5"/>
        <v>81471.55156406123</v>
      </c>
      <c r="K49" s="241">
        <f t="shared" si="6"/>
        <v>153637.34794872627</v>
      </c>
      <c r="L49" s="45">
        <f t="shared" si="7"/>
        <v>62.65205127373338</v>
      </c>
    </row>
    <row r="50" spans="1:12" ht="18" customHeight="1">
      <c r="A50" s="79"/>
      <c r="B50" s="79" t="s">
        <v>27</v>
      </c>
      <c r="C50" s="84">
        <f>ДифНорматив!G25</f>
        <v>357.70000000000005</v>
      </c>
      <c r="D50" s="84">
        <f>ДифНорматив!H25</f>
        <v>2.6</v>
      </c>
      <c r="E50" s="243">
        <f>ДифНорматив!I25</f>
        <v>87.15</v>
      </c>
      <c r="F50" s="243">
        <f>ДифНорматив!J25</f>
        <v>267.95</v>
      </c>
      <c r="G50" s="126"/>
      <c r="H50" s="126">
        <f>SUM(H34:H49)</f>
        <v>52792.85067953324</v>
      </c>
      <c r="I50" s="126">
        <f>SUM(I34:I49)</f>
        <v>1143499.8463497378</v>
      </c>
      <c r="J50" s="126">
        <f>SUM(J34:J49)</f>
        <v>1559307.3029707293</v>
      </c>
      <c r="K50" s="242">
        <f t="shared" si="6"/>
        <v>2755600.0000000005</v>
      </c>
      <c r="L50" s="45">
        <f>E25-K50</f>
        <v>0</v>
      </c>
    </row>
  </sheetData>
  <sheetProtection/>
  <mergeCells count="65">
    <mergeCell ref="E11:F11"/>
    <mergeCell ref="E22:F22"/>
    <mergeCell ref="E23:F23"/>
    <mergeCell ref="E24:F24"/>
    <mergeCell ref="C24:D24"/>
    <mergeCell ref="C25:D25"/>
    <mergeCell ref="C21:D21"/>
    <mergeCell ref="C22:D22"/>
    <mergeCell ref="E18:F18"/>
    <mergeCell ref="E13:F13"/>
    <mergeCell ref="C9:D9"/>
    <mergeCell ref="C10:D10"/>
    <mergeCell ref="C11:D11"/>
    <mergeCell ref="E9:F9"/>
    <mergeCell ref="E10:F10"/>
    <mergeCell ref="D28:F28"/>
    <mergeCell ref="C12:D12"/>
    <mergeCell ref="C13:D13"/>
    <mergeCell ref="C14:D14"/>
    <mergeCell ref="E12:F12"/>
    <mergeCell ref="A27:A28"/>
    <mergeCell ref="B27:B28"/>
    <mergeCell ref="C27:F27"/>
    <mergeCell ref="E25:F25"/>
    <mergeCell ref="C23:D23"/>
    <mergeCell ref="A26:F26"/>
    <mergeCell ref="E16:F16"/>
    <mergeCell ref="E17:F17"/>
    <mergeCell ref="C15:D15"/>
    <mergeCell ref="E20:F20"/>
    <mergeCell ref="C20:D20"/>
    <mergeCell ref="C16:D16"/>
    <mergeCell ref="C17:D17"/>
    <mergeCell ref="C18:D18"/>
    <mergeCell ref="C19:D19"/>
    <mergeCell ref="C7:F7"/>
    <mergeCell ref="H21:I21"/>
    <mergeCell ref="H22:I22"/>
    <mergeCell ref="H23:I23"/>
    <mergeCell ref="H16:I16"/>
    <mergeCell ref="H17:I17"/>
    <mergeCell ref="H18:I18"/>
    <mergeCell ref="H20:I20"/>
    <mergeCell ref="H15:I15"/>
    <mergeCell ref="H19:I19"/>
    <mergeCell ref="H25:I25"/>
    <mergeCell ref="A1:F1"/>
    <mergeCell ref="A2:F2"/>
    <mergeCell ref="A3:F3"/>
    <mergeCell ref="C8:D8"/>
    <mergeCell ref="E8:F8"/>
    <mergeCell ref="E19:F19"/>
    <mergeCell ref="A5:F5"/>
    <mergeCell ref="A7:A8"/>
    <mergeCell ref="B7:B8"/>
    <mergeCell ref="E21:F21"/>
    <mergeCell ref="H24:I24"/>
    <mergeCell ref="H9:I9"/>
    <mergeCell ref="H10:I10"/>
    <mergeCell ref="H14:I14"/>
    <mergeCell ref="H12:I12"/>
    <mergeCell ref="H11:I11"/>
    <mergeCell ref="H13:I13"/>
    <mergeCell ref="E14:F14"/>
    <mergeCell ref="E15:F15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"/>
  <sheetViews>
    <sheetView view="pageBreakPreview" zoomScaleSheetLayoutView="100" zoomScalePageLayoutView="0" workbookViewId="0" topLeftCell="A13">
      <selection activeCell="K38" sqref="K38"/>
    </sheetView>
  </sheetViews>
  <sheetFormatPr defaultColWidth="9.00390625" defaultRowHeight="12.75"/>
  <cols>
    <col min="1" max="1" width="4.875" style="86" customWidth="1"/>
    <col min="2" max="2" width="15.875" style="86" customWidth="1"/>
    <col min="3" max="3" width="26.00390625" style="86" customWidth="1"/>
    <col min="4" max="4" width="17.125" style="86" customWidth="1"/>
    <col min="5" max="5" width="8.625" style="86" customWidth="1"/>
    <col min="6" max="6" width="9.375" style="86" customWidth="1"/>
    <col min="7" max="7" width="8.875" style="86" customWidth="1"/>
    <col min="8" max="8" width="12.75390625" style="86" customWidth="1"/>
    <col min="9" max="9" width="12.00390625" style="86" customWidth="1"/>
    <col min="10" max="10" width="16.625" style="86" customWidth="1"/>
    <col min="11" max="11" width="13.375" style="86" customWidth="1"/>
    <col min="12" max="12" width="12.375" style="86" hidden="1" customWidth="1"/>
    <col min="13" max="13" width="11.625" style="86" customWidth="1"/>
    <col min="14" max="16384" width="9.125" style="88" customWidth="1"/>
  </cols>
  <sheetData>
    <row r="1" spans="1:12" ht="12.75">
      <c r="A1" s="150"/>
      <c r="B1" s="150"/>
      <c r="C1" s="150"/>
      <c r="D1" s="150"/>
      <c r="E1" s="150"/>
      <c r="F1" s="442"/>
      <c r="G1" s="442"/>
      <c r="H1" s="442"/>
      <c r="I1" s="442"/>
      <c r="J1" s="442"/>
      <c r="K1" s="442"/>
      <c r="L1" s="150"/>
    </row>
    <row r="2" spans="1:12" ht="12.75">
      <c r="A2" s="150"/>
      <c r="B2" s="150"/>
      <c r="C2" s="150"/>
      <c r="D2" s="150"/>
      <c r="E2" s="150"/>
      <c r="F2" s="442"/>
      <c r="G2" s="442"/>
      <c r="H2" s="442"/>
      <c r="I2" s="442"/>
      <c r="J2" s="442"/>
      <c r="K2" s="442"/>
      <c r="L2" s="150"/>
    </row>
    <row r="3" spans="1:12" ht="12.75">
      <c r="A3" s="150"/>
      <c r="B3" s="150"/>
      <c r="C3" s="150"/>
      <c r="D3" s="150"/>
      <c r="E3" s="150"/>
      <c r="F3" s="443"/>
      <c r="G3" s="443"/>
      <c r="H3" s="443"/>
      <c r="I3" s="443"/>
      <c r="J3" s="443"/>
      <c r="K3" s="443"/>
      <c r="L3" s="150"/>
    </row>
    <row r="4" spans="1:12" ht="18.75">
      <c r="A4" s="150"/>
      <c r="B4" s="150"/>
      <c r="C4" s="150"/>
      <c r="D4" s="150"/>
      <c r="E4" s="150"/>
      <c r="F4" s="74"/>
      <c r="G4" s="74"/>
      <c r="H4" s="74"/>
      <c r="I4" s="74"/>
      <c r="J4" s="74"/>
      <c r="K4" s="74"/>
      <c r="L4" s="150"/>
    </row>
    <row r="5" spans="1:12" ht="67.5" customHeight="1">
      <c r="A5" s="481" t="s">
        <v>85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150"/>
    </row>
    <row r="6" spans="1:12" ht="18.75">
      <c r="A6" s="150"/>
      <c r="B6" s="150"/>
      <c r="C6" s="150"/>
      <c r="D6" s="150"/>
      <c r="E6" s="150"/>
      <c r="F6" s="148"/>
      <c r="G6" s="149"/>
      <c r="H6" s="149"/>
      <c r="I6" s="149"/>
      <c r="J6" s="149"/>
      <c r="K6" s="149"/>
      <c r="L6" s="150"/>
    </row>
    <row r="7" spans="1:14" ht="111" customHeight="1">
      <c r="A7" s="89" t="s">
        <v>55</v>
      </c>
      <c r="B7" s="90" t="s">
        <v>56</v>
      </c>
      <c r="C7" s="103" t="s">
        <v>57</v>
      </c>
      <c r="D7" s="103" t="s">
        <v>58</v>
      </c>
      <c r="E7" s="103" t="s">
        <v>59</v>
      </c>
      <c r="F7" s="103" t="s">
        <v>60</v>
      </c>
      <c r="G7" s="103" t="s">
        <v>80</v>
      </c>
      <c r="H7" s="103" t="s">
        <v>62</v>
      </c>
      <c r="I7" s="109" t="s">
        <v>74</v>
      </c>
      <c r="J7" s="109" t="s">
        <v>75</v>
      </c>
      <c r="K7" s="103" t="s">
        <v>86</v>
      </c>
      <c r="L7" s="102">
        <f>SUM(L8:L9)</f>
        <v>2090035</v>
      </c>
      <c r="M7" s="96"/>
      <c r="N7" s="101"/>
    </row>
    <row r="8" spans="1:14" ht="60" customHeight="1">
      <c r="A8" s="89">
        <v>1</v>
      </c>
      <c r="B8" s="89"/>
      <c r="C8" s="103"/>
      <c r="D8" s="103" t="s">
        <v>64</v>
      </c>
      <c r="E8" s="103"/>
      <c r="F8" s="103"/>
      <c r="G8" s="103" t="s">
        <v>65</v>
      </c>
      <c r="H8" s="103"/>
      <c r="I8" s="103"/>
      <c r="J8" s="105"/>
      <c r="K8" s="146">
        <f>H8*J8</f>
        <v>0</v>
      </c>
      <c r="L8" s="98">
        <f>2830000-1039965+150000</f>
        <v>1940035</v>
      </c>
      <c r="M8" s="99"/>
      <c r="N8" s="86"/>
    </row>
    <row r="9" spans="1:13" ht="57" customHeight="1">
      <c r="A9" s="89">
        <v>2</v>
      </c>
      <c r="B9" s="90"/>
      <c r="C9" s="103"/>
      <c r="D9" s="103" t="s">
        <v>64</v>
      </c>
      <c r="E9" s="103"/>
      <c r="F9" s="103"/>
      <c r="G9" s="103" t="s">
        <v>65</v>
      </c>
      <c r="H9" s="103"/>
      <c r="I9" s="106"/>
      <c r="J9" s="105"/>
      <c r="K9" s="146">
        <f>H9*J9</f>
        <v>0</v>
      </c>
      <c r="L9" s="100">
        <v>150000</v>
      </c>
      <c r="M9" s="99"/>
    </row>
    <row r="10" spans="1:13" ht="82.5" customHeight="1">
      <c r="A10" s="89">
        <v>3</v>
      </c>
      <c r="B10" s="90"/>
      <c r="C10" s="103"/>
      <c r="D10" s="103" t="s">
        <v>64</v>
      </c>
      <c r="E10" s="103"/>
      <c r="F10" s="103"/>
      <c r="G10" s="103" t="s">
        <v>65</v>
      </c>
      <c r="H10" s="103"/>
      <c r="I10" s="106"/>
      <c r="J10" s="105"/>
      <c r="K10" s="146">
        <f>H10*J10</f>
        <v>0</v>
      </c>
      <c r="L10" s="100"/>
      <c r="M10" s="99"/>
    </row>
    <row r="11" spans="1:13" ht="57.75" customHeight="1">
      <c r="A11" s="89">
        <v>4</v>
      </c>
      <c r="B11" s="90"/>
      <c r="C11" s="103"/>
      <c r="D11" s="103" t="s">
        <v>64</v>
      </c>
      <c r="E11" s="103"/>
      <c r="F11" s="103"/>
      <c r="G11" s="103" t="s">
        <v>72</v>
      </c>
      <c r="H11" s="103"/>
      <c r="I11" s="106"/>
      <c r="J11" s="105"/>
      <c r="K11" s="146">
        <v>0</v>
      </c>
      <c r="L11" s="100">
        <v>100000</v>
      </c>
      <c r="M11" s="99"/>
    </row>
    <row r="12" spans="1:13" ht="53.25" customHeight="1">
      <c r="A12" s="89">
        <v>5</v>
      </c>
      <c r="B12" s="90"/>
      <c r="C12" s="103"/>
      <c r="D12" s="103" t="s">
        <v>64</v>
      </c>
      <c r="E12" s="103"/>
      <c r="F12" s="107"/>
      <c r="G12" s="103" t="s">
        <v>72</v>
      </c>
      <c r="H12" s="103"/>
      <c r="I12" s="106"/>
      <c r="J12" s="105"/>
      <c r="K12" s="146">
        <f>J12*4</f>
        <v>0</v>
      </c>
      <c r="L12" s="100">
        <v>350000</v>
      </c>
      <c r="M12" s="99"/>
    </row>
    <row r="13" spans="1:13" ht="53.25" customHeight="1">
      <c r="A13" s="89">
        <v>6</v>
      </c>
      <c r="B13" s="90"/>
      <c r="C13" s="103"/>
      <c r="D13" s="103" t="s">
        <v>64</v>
      </c>
      <c r="E13" s="103"/>
      <c r="F13" s="107"/>
      <c r="G13" s="103" t="s">
        <v>72</v>
      </c>
      <c r="H13" s="103"/>
      <c r="I13" s="106"/>
      <c r="J13" s="105"/>
      <c r="K13" s="105">
        <v>0</v>
      </c>
      <c r="L13" s="152"/>
      <c r="M13" s="99"/>
    </row>
    <row r="14" spans="1:13" ht="30.75" customHeight="1">
      <c r="A14" s="89"/>
      <c r="B14" s="89"/>
      <c r="C14" s="491" t="s">
        <v>76</v>
      </c>
      <c r="D14" s="491"/>
      <c r="E14" s="108"/>
      <c r="F14" s="108"/>
      <c r="G14" s="108"/>
      <c r="H14" s="108"/>
      <c r="I14" s="108"/>
      <c r="J14" s="108"/>
      <c r="K14" s="147">
        <f>SUM(K8:K13)</f>
        <v>0</v>
      </c>
      <c r="L14" s="95"/>
      <c r="M14" s="95"/>
    </row>
    <row r="15" spans="5:13" ht="12.75">
      <c r="E15" s="87"/>
      <c r="K15" s="95"/>
      <c r="L15" s="95"/>
      <c r="M15" s="95"/>
    </row>
    <row r="16" spans="11:13" ht="12.75">
      <c r="K16" s="95"/>
      <c r="L16" s="95"/>
      <c r="M16" s="95"/>
    </row>
  </sheetData>
  <sheetProtection/>
  <mergeCells count="5">
    <mergeCell ref="C14:D14"/>
    <mergeCell ref="F1:K1"/>
    <mergeCell ref="F2:K2"/>
    <mergeCell ref="F3:K3"/>
    <mergeCell ref="A5:K5"/>
  </mergeCells>
  <printOptions horizontalCentered="1"/>
  <pageMargins left="0" right="0" top="0.7874015748031497" bottom="0.51" header="0" footer="0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1"/>
  <sheetViews>
    <sheetView view="pageBreakPreview" zoomScaleSheetLayoutView="100" zoomScalePageLayoutView="0" workbookViewId="0" topLeftCell="A2">
      <selection activeCell="J8" sqref="J8"/>
    </sheetView>
  </sheetViews>
  <sheetFormatPr defaultColWidth="9.00390625" defaultRowHeight="12.75"/>
  <cols>
    <col min="1" max="1" width="4.875" style="86" customWidth="1"/>
    <col min="2" max="2" width="15.875" style="86" customWidth="1"/>
    <col min="3" max="3" width="26.00390625" style="86" customWidth="1"/>
    <col min="4" max="4" width="17.125" style="86" customWidth="1"/>
    <col min="5" max="5" width="8.625" style="86" customWidth="1"/>
    <col min="6" max="6" width="9.375" style="86" customWidth="1"/>
    <col min="7" max="7" width="8.875" style="86" customWidth="1"/>
    <col min="8" max="8" width="12.75390625" style="86" customWidth="1"/>
    <col min="9" max="9" width="12.00390625" style="86" customWidth="1"/>
    <col min="10" max="10" width="16.625" style="86" customWidth="1"/>
    <col min="11" max="11" width="13.375" style="86" customWidth="1"/>
    <col min="12" max="12" width="12.375" style="86" hidden="1" customWidth="1"/>
    <col min="13" max="13" width="11.625" style="86" customWidth="1"/>
    <col min="14" max="14" width="11.75390625" style="88" bestFit="1" customWidth="1"/>
    <col min="15" max="16384" width="9.125" style="88" customWidth="1"/>
  </cols>
  <sheetData>
    <row r="1" spans="1:12" ht="12.75">
      <c r="A1" s="150"/>
      <c r="B1" s="150"/>
      <c r="C1" s="150"/>
      <c r="D1" s="150"/>
      <c r="E1" s="150"/>
      <c r="F1" s="442"/>
      <c r="G1" s="442"/>
      <c r="H1" s="442"/>
      <c r="I1" s="442"/>
      <c r="J1" s="442"/>
      <c r="K1" s="442"/>
      <c r="L1" s="150"/>
    </row>
    <row r="2" spans="1:12" ht="12.75">
      <c r="A2" s="150"/>
      <c r="B2" s="150"/>
      <c r="C2" s="150"/>
      <c r="D2" s="150"/>
      <c r="E2" s="150"/>
      <c r="F2" s="442"/>
      <c r="G2" s="442"/>
      <c r="H2" s="442"/>
      <c r="I2" s="442"/>
      <c r="J2" s="442"/>
      <c r="K2" s="442"/>
      <c r="L2" s="150"/>
    </row>
    <row r="3" spans="1:12" ht="12.75">
      <c r="A3" s="150"/>
      <c r="B3" s="150"/>
      <c r="C3" s="150"/>
      <c r="D3" s="150"/>
      <c r="E3" s="150"/>
      <c r="F3" s="443"/>
      <c r="G3" s="443"/>
      <c r="H3" s="443"/>
      <c r="I3" s="443"/>
      <c r="J3" s="443"/>
      <c r="K3" s="443"/>
      <c r="L3" s="150"/>
    </row>
    <row r="4" spans="1:12" ht="18.75">
      <c r="A4" s="150"/>
      <c r="B4" s="150"/>
      <c r="C4" s="150"/>
      <c r="D4" s="150"/>
      <c r="E4" s="150"/>
      <c r="F4" s="74"/>
      <c r="G4" s="74"/>
      <c r="H4" s="74"/>
      <c r="I4" s="74"/>
      <c r="J4" s="74"/>
      <c r="K4" s="74"/>
      <c r="L4" s="150"/>
    </row>
    <row r="5" spans="1:12" ht="67.5" customHeight="1">
      <c r="A5" s="481" t="s">
        <v>85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150"/>
    </row>
    <row r="6" spans="1:12" ht="18.75">
      <c r="A6" s="150"/>
      <c r="B6" s="150"/>
      <c r="C6" s="150"/>
      <c r="D6" s="150"/>
      <c r="E6" s="150"/>
      <c r="F6" s="148"/>
      <c r="G6" s="149"/>
      <c r="H6" s="149"/>
      <c r="I6" s="149"/>
      <c r="J6" s="149"/>
      <c r="K6" s="149"/>
      <c r="L6" s="150"/>
    </row>
    <row r="7" spans="1:14" ht="111" customHeight="1">
      <c r="A7" s="89" t="s">
        <v>55</v>
      </c>
      <c r="B7" s="90" t="s">
        <v>56</v>
      </c>
      <c r="C7" s="103" t="s">
        <v>57</v>
      </c>
      <c r="D7" s="103" t="s">
        <v>58</v>
      </c>
      <c r="E7" s="103" t="s">
        <v>59</v>
      </c>
      <c r="F7" s="103" t="s">
        <v>60</v>
      </c>
      <c r="G7" s="103" t="s">
        <v>80</v>
      </c>
      <c r="H7" s="103" t="s">
        <v>62</v>
      </c>
      <c r="I7" s="250" t="s">
        <v>74</v>
      </c>
      <c r="J7" s="250" t="s">
        <v>75</v>
      </c>
      <c r="K7" s="103" t="s">
        <v>86</v>
      </c>
      <c r="L7" s="98">
        <f>SUM(L8:L8)</f>
        <v>1940035</v>
      </c>
      <c r="M7" s="96"/>
      <c r="N7" s="101"/>
    </row>
    <row r="8" spans="1:14" ht="60" customHeight="1">
      <c r="A8" s="108">
        <v>1</v>
      </c>
      <c r="B8" s="108" t="s">
        <v>67</v>
      </c>
      <c r="C8" s="103" t="s">
        <v>126</v>
      </c>
      <c r="D8" s="103" t="s">
        <v>64</v>
      </c>
      <c r="E8" s="103">
        <v>13.2</v>
      </c>
      <c r="F8" s="103">
        <v>13.3</v>
      </c>
      <c r="G8" s="103" t="s">
        <v>65</v>
      </c>
      <c r="H8" s="103">
        <v>39.5</v>
      </c>
      <c r="I8" s="103" t="s">
        <v>125</v>
      </c>
      <c r="J8" s="251">
        <v>47500</v>
      </c>
      <c r="K8" s="146">
        <f>H8*J8</f>
        <v>1876250</v>
      </c>
      <c r="L8" s="98">
        <f>2830000-1039965+150000</f>
        <v>1940035</v>
      </c>
      <c r="M8" s="99">
        <f>Лойга!C39</f>
        <v>1874096.4100000001</v>
      </c>
      <c r="N8" s="86">
        <f>M8/H8</f>
        <v>47445.47873417722</v>
      </c>
    </row>
    <row r="9" spans="1:13" ht="30.75" customHeight="1">
      <c r="A9" s="89"/>
      <c r="B9" s="89"/>
      <c r="C9" s="491" t="s">
        <v>76</v>
      </c>
      <c r="D9" s="491"/>
      <c r="E9" s="108"/>
      <c r="F9" s="108"/>
      <c r="G9" s="108"/>
      <c r="H9" s="108"/>
      <c r="I9" s="108" t="str">
        <f>I8</f>
        <v>40/0</v>
      </c>
      <c r="J9" s="108"/>
      <c r="K9" s="147">
        <f>SUM(K8:K8)</f>
        <v>1876250</v>
      </c>
      <c r="L9" s="95"/>
      <c r="M9" s="95">
        <f>K8-M8</f>
        <v>2153.589999999851</v>
      </c>
    </row>
    <row r="10" spans="5:14" ht="12.75">
      <c r="E10" s="87"/>
      <c r="K10" s="95"/>
      <c r="L10" s="95"/>
      <c r="M10" s="95"/>
      <c r="N10" s="265"/>
    </row>
    <row r="11" spans="11:13" ht="12.75">
      <c r="K11" s="95"/>
      <c r="L11" s="95"/>
      <c r="M11" s="95"/>
    </row>
  </sheetData>
  <sheetProtection/>
  <mergeCells count="5">
    <mergeCell ref="C9:D9"/>
    <mergeCell ref="F1:K1"/>
    <mergeCell ref="F2:K2"/>
    <mergeCell ref="F3:K3"/>
    <mergeCell ref="A5:K5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SheetLayoutView="100" zoomScalePageLayoutView="0" workbookViewId="0" topLeftCell="A10">
      <selection activeCell="K9" sqref="K9"/>
    </sheetView>
  </sheetViews>
  <sheetFormatPr defaultColWidth="9.00390625" defaultRowHeight="12.75"/>
  <cols>
    <col min="1" max="1" width="4.625" style="86" customWidth="1"/>
    <col min="2" max="2" width="15.25390625" style="86" customWidth="1"/>
    <col min="3" max="3" width="18.25390625" style="86" customWidth="1"/>
    <col min="4" max="4" width="14.125" style="86" customWidth="1"/>
    <col min="5" max="5" width="9.375" style="86" customWidth="1"/>
    <col min="6" max="6" width="9.875" style="86" customWidth="1"/>
    <col min="7" max="7" width="10.25390625" style="86" customWidth="1"/>
    <col min="8" max="8" width="11.00390625" style="86" customWidth="1"/>
    <col min="9" max="9" width="16.75390625" style="86" customWidth="1"/>
    <col min="10" max="10" width="12.375" style="86" customWidth="1"/>
    <col min="11" max="11" width="14.75390625" style="86" customWidth="1"/>
    <col min="12" max="12" width="13.375" style="86" customWidth="1"/>
    <col min="13" max="13" width="12.375" style="86" hidden="1" customWidth="1"/>
    <col min="14" max="14" width="26.00390625" style="88" customWidth="1"/>
    <col min="15" max="16384" width="9.125" style="88" customWidth="1"/>
  </cols>
  <sheetData>
    <row r="1" spans="1:13" ht="12.75" customHeight="1">
      <c r="A1" s="150"/>
      <c r="B1" s="150"/>
      <c r="C1" s="150"/>
      <c r="D1" s="150"/>
      <c r="E1" s="150"/>
      <c r="F1" s="138"/>
      <c r="G1" s="442"/>
      <c r="H1" s="442"/>
      <c r="I1" s="442"/>
      <c r="J1" s="442"/>
      <c r="K1" s="442"/>
      <c r="L1" s="442"/>
      <c r="M1" s="150"/>
    </row>
    <row r="2" spans="1:13" ht="12.75" customHeight="1">
      <c r="A2" s="150"/>
      <c r="B2" s="150"/>
      <c r="C2" s="150"/>
      <c r="D2" s="150"/>
      <c r="E2" s="150"/>
      <c r="F2" s="138"/>
      <c r="G2" s="442"/>
      <c r="H2" s="442"/>
      <c r="I2" s="442"/>
      <c r="J2" s="442"/>
      <c r="K2" s="442"/>
      <c r="L2" s="442"/>
      <c r="M2" s="150"/>
    </row>
    <row r="3" spans="1:13" ht="12.75">
      <c r="A3" s="150"/>
      <c r="B3" s="150"/>
      <c r="C3" s="150"/>
      <c r="D3" s="150"/>
      <c r="E3" s="150"/>
      <c r="F3" s="144"/>
      <c r="G3" s="443"/>
      <c r="H3" s="443"/>
      <c r="I3" s="443"/>
      <c r="J3" s="443"/>
      <c r="K3" s="443"/>
      <c r="L3" s="443"/>
      <c r="M3" s="150"/>
    </row>
    <row r="4" spans="1:13" ht="18.75">
      <c r="A4" s="150"/>
      <c r="B4" s="150"/>
      <c r="C4" s="150"/>
      <c r="D4" s="150"/>
      <c r="E4" s="150"/>
      <c r="F4" s="74"/>
      <c r="G4" s="74"/>
      <c r="H4" s="74"/>
      <c r="I4" s="74"/>
      <c r="J4" s="74"/>
      <c r="K4" s="74"/>
      <c r="L4" s="150"/>
      <c r="M4" s="150"/>
    </row>
    <row r="5" spans="1:13" ht="54.75" customHeight="1">
      <c r="A5" s="482" t="s">
        <v>95</v>
      </c>
      <c r="B5" s="482"/>
      <c r="C5" s="482"/>
      <c r="D5" s="482"/>
      <c r="E5" s="482"/>
      <c r="F5" s="482"/>
      <c r="G5" s="482"/>
      <c r="H5" s="482"/>
      <c r="I5" s="482"/>
      <c r="J5" s="482"/>
      <c r="K5" s="482"/>
      <c r="L5" s="482"/>
      <c r="M5" s="150"/>
    </row>
    <row r="6" spans="1:13" ht="12.75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</row>
    <row r="7" spans="1:14" ht="97.5" customHeight="1">
      <c r="A7" s="113" t="s">
        <v>55</v>
      </c>
      <c r="B7" s="114" t="s">
        <v>56</v>
      </c>
      <c r="C7" s="114" t="s">
        <v>57</v>
      </c>
      <c r="D7" s="114" t="s">
        <v>58</v>
      </c>
      <c r="E7" s="114" t="s">
        <v>59</v>
      </c>
      <c r="F7" s="114" t="s">
        <v>60</v>
      </c>
      <c r="G7" s="114" t="s">
        <v>61</v>
      </c>
      <c r="H7" s="115" t="s">
        <v>77</v>
      </c>
      <c r="I7" s="116" t="s">
        <v>112</v>
      </c>
      <c r="J7" s="116" t="s">
        <v>66</v>
      </c>
      <c r="K7" s="117" t="s">
        <v>78</v>
      </c>
      <c r="L7" s="114" t="s">
        <v>71</v>
      </c>
      <c r="M7" s="91" t="s">
        <v>63</v>
      </c>
      <c r="N7" s="188"/>
    </row>
    <row r="8" spans="1:13" ht="12.75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92">
        <v>0.05</v>
      </c>
    </row>
    <row r="9" spans="1:14" ht="63.75">
      <c r="A9" s="108">
        <v>1</v>
      </c>
      <c r="B9" s="112" t="s">
        <v>67</v>
      </c>
      <c r="C9" s="104" t="s">
        <v>68</v>
      </c>
      <c r="D9" s="103" t="s">
        <v>64</v>
      </c>
      <c r="E9" s="107">
        <v>0</v>
      </c>
      <c r="F9" s="107">
        <v>0</v>
      </c>
      <c r="G9" s="104" t="s">
        <v>69</v>
      </c>
      <c r="H9" s="190">
        <f>I9*1000*J9/10000</f>
        <v>9</v>
      </c>
      <c r="I9" s="107">
        <v>3</v>
      </c>
      <c r="J9" s="107">
        <v>30</v>
      </c>
      <c r="K9" s="118">
        <v>230000</v>
      </c>
      <c r="L9" s="118">
        <f>I9*K9</f>
        <v>690000</v>
      </c>
      <c r="M9" s="93"/>
      <c r="N9" s="189"/>
    </row>
    <row r="10" spans="1:16" ht="63.75">
      <c r="A10" s="108">
        <v>2</v>
      </c>
      <c r="B10" s="112" t="s">
        <v>98</v>
      </c>
      <c r="C10" s="104" t="s">
        <v>100</v>
      </c>
      <c r="D10" s="103" t="s">
        <v>64</v>
      </c>
      <c r="E10" s="191">
        <v>6</v>
      </c>
      <c r="F10" s="107">
        <v>8</v>
      </c>
      <c r="G10" s="104" t="s">
        <v>69</v>
      </c>
      <c r="H10" s="190">
        <f>I10*1000*J10/10000</f>
        <v>8.7713347826085</v>
      </c>
      <c r="I10" s="107">
        <v>2.9237782608695</v>
      </c>
      <c r="J10" s="107">
        <v>30</v>
      </c>
      <c r="K10" s="118">
        <f>K9</f>
        <v>230000</v>
      </c>
      <c r="L10" s="118">
        <f>I10*K10</f>
        <v>672468.9999999851</v>
      </c>
      <c r="M10" s="93"/>
      <c r="N10" s="188">
        <f>2.9*K10-L10</f>
        <v>-5468.999999985099</v>
      </c>
      <c r="P10" s="266"/>
    </row>
    <row r="11" spans="1:13" ht="12.75">
      <c r="A11" s="108"/>
      <c r="B11" s="108"/>
      <c r="C11" s="108"/>
      <c r="D11" s="108"/>
      <c r="E11" s="108"/>
      <c r="F11" s="108"/>
      <c r="G11" s="108"/>
      <c r="H11" s="190">
        <f>SUM(H9:H10)</f>
        <v>17.7713347826085</v>
      </c>
      <c r="I11" s="190">
        <f>SUM(I9:I10)</f>
        <v>5.923778260869501</v>
      </c>
      <c r="J11" s="108"/>
      <c r="K11" s="119"/>
      <c r="L11" s="119">
        <f>SUM(L9:L10)</f>
        <v>1362468.999999985</v>
      </c>
      <c r="M11" s="94">
        <f>SUM(M9)</f>
        <v>0</v>
      </c>
    </row>
    <row r="13" spans="1:13" ht="12.75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</row>
    <row r="14" spans="9:12" ht="12.75">
      <c r="I14" s="286" t="e">
        <f>РасчетРайону!#REF!</f>
        <v>#REF!</v>
      </c>
      <c r="L14" s="101" t="e">
        <f>РасчетРайону!#REF!</f>
        <v>#REF!</v>
      </c>
    </row>
    <row r="15" spans="4:13" ht="12.75">
      <c r="D15" s="86">
        <v>3.3669913</v>
      </c>
      <c r="L15" s="285" t="e">
        <f>L14-L11</f>
        <v>#REF!</v>
      </c>
      <c r="M15" s="86" t="e">
        <f>#REF!+#REF!+'[1]СОДЕРЖАНИЕ  дорог  Суб №3  (2)'!AW25</f>
        <v>#REF!</v>
      </c>
    </row>
  </sheetData>
  <sheetProtection/>
  <mergeCells count="4">
    <mergeCell ref="G1:L1"/>
    <mergeCell ref="G2:L2"/>
    <mergeCell ref="G3:L3"/>
    <mergeCell ref="A5:L5"/>
  </mergeCells>
  <printOptions/>
  <pageMargins left="0" right="0" top="0.984251968503937" bottom="0.984251968503937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2021-06-28T13:02:20Z</cp:lastPrinted>
  <dcterms:created xsi:type="dcterms:W3CDTF">2000-09-19T07:45:36Z</dcterms:created>
  <dcterms:modified xsi:type="dcterms:W3CDTF">2021-06-28T13:02:22Z</dcterms:modified>
  <cp:category/>
  <cp:version/>
  <cp:contentType/>
  <cp:contentStatus/>
</cp:coreProperties>
</file>