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75" windowWidth="20730" windowHeight="11760" tabRatio="894" activeTab="5"/>
  </bookViews>
  <sheets>
    <sheet name="бюджет на 2022-2024" sheetId="1" r:id="rId1"/>
    <sheet name="2021 и бюджет на 2022-24" sheetId="2" r:id="rId2"/>
    <sheet name=" 2022-24 февр.сесс" sheetId="3" r:id="rId3"/>
    <sheet name="бюдж.росп. на 01.04." sheetId="4" r:id="rId4"/>
    <sheet name="бюдж.росп. на 01.06" sheetId="5" r:id="rId5"/>
    <sheet name="бюдж.росп. на 01.08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2">' 2022-24 февр.сесс'!$A$1:$M$290</definedName>
    <definedName name="_xlnm.Print_Area" localSheetId="1">'2021 и бюджет на 2022-24'!$A$1:$M$269</definedName>
    <definedName name="_xlnm.Print_Area" localSheetId="3">'бюдж.росп. на 01.04.'!$A$1:$M$293</definedName>
    <definedName name="_xlnm.Print_Area" localSheetId="4">'бюдж.росп. на 01.06'!$A$1:$M$293</definedName>
    <definedName name="_xlnm.Print_Area" localSheetId="5">'бюдж.росп. на 01.08'!$A$1:$M$293</definedName>
    <definedName name="_xlnm.Print_Area" localSheetId="0">'бюджет на 2022-2024'!$A$1:$M$269</definedName>
  </definedNames>
  <calcPr fullCalcOnLoad="1"/>
</workbook>
</file>

<file path=xl/comments1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22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34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8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42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4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22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23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</commentList>
</comments>
</file>

<file path=xl/comments4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27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</commentList>
</comments>
</file>

<file path=xl/comments5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27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</commentList>
</comments>
</file>

<file path=xl/comments6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27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<sst xmlns="http://schemas.openxmlformats.org/spreadsheetml/2006/main" count="3842" uniqueCount="212">
  <si>
    <t>Приложение 1</t>
  </si>
  <si>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</si>
  <si>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</si>
  <si>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</si>
  <si>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</si>
  <si>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</si>
  <si>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</si>
  <si>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</si>
  <si>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</si>
  <si>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</si>
  <si>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</si>
  <si>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</si>
  <si>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</si>
  <si>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</si>
  <si>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</si>
  <si>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</si>
  <si>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</si>
  <si>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</si>
  <si>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</si>
  <si>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</si>
  <si>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</si>
  <si>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</si>
  <si>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</si>
  <si>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</si>
  <si>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1.2.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</si>
  <si>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</si>
  <si>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</si>
  <si>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</si>
  <si>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</si>
  <si>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</si>
  <si>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1.2.4.</t>
  </si>
  <si>
    <t>Обеспечение высокоскоростного интернета</t>
  </si>
  <si>
    <t>1.2.5.</t>
  </si>
  <si>
    <t>Обеспечение деятельности общеобразовательных организаций (муниципальное задание)</t>
  </si>
  <si>
    <t>1.2.6.</t>
  </si>
  <si>
    <t>1.2.7.</t>
  </si>
  <si>
    <t>1.2.8.</t>
  </si>
  <si>
    <t>Выявление детей с ограниченными возможностями здоровья и проведение их комплексного обследования (ЦППРК)</t>
  </si>
  <si>
    <t>1.2.9.</t>
  </si>
  <si>
    <t>Резервный фонд для создания групп,классов-комплектов и объединений дополнительного образования</t>
  </si>
  <si>
    <t>1.3.</t>
  </si>
  <si>
    <t>Обеспечение обучения педагогических работников по дополнительным профессиональным программам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</si>
  <si>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</si>
  <si>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</si>
  <si>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</si>
  <si>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1.4.1.</t>
  </si>
  <si>
    <t>1.4.2.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</si>
  <si>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</si>
  <si>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</si>
  <si>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</si>
  <si>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</si>
  <si>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1.5.2.</t>
  </si>
  <si>
    <t>1.5.3.</t>
  </si>
  <si>
    <t>Обеспечение питанием обучающихся,проживающих в интернате</t>
  </si>
  <si>
    <t>1.5.4.</t>
  </si>
  <si>
    <t>2.</t>
  </si>
  <si>
    <t>2.1.</t>
  </si>
  <si>
    <t>2.2.</t>
  </si>
  <si>
    <t>2.3.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</si>
  <si>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</si>
  <si>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</si>
  <si>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</si>
  <si>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3.</t>
  </si>
  <si>
    <t>3.1.</t>
  </si>
  <si>
    <t>Укрепление  материально-технической базы загородных  стационарных  оздоровительных  учреждений</t>
  </si>
  <si>
    <t>3.2.</t>
  </si>
  <si>
    <t>Акарицидная обработка территорий оздровительных лагерей с дневным пребыванием детей</t>
  </si>
  <si>
    <t>3.3.</t>
  </si>
  <si>
    <t>4.</t>
  </si>
  <si>
    <t>4.1.</t>
  </si>
  <si>
    <t>Школа одаренных детей</t>
  </si>
  <si>
    <t>4.2.</t>
  </si>
  <si>
    <t>4.3.</t>
  </si>
  <si>
    <t>4.4.</t>
  </si>
  <si>
    <t>5.1.</t>
  </si>
  <si>
    <t>.</t>
  </si>
  <si>
    <t>ИТОГО ОБЪЕМЫ ФИНАНСИРОВАНИЯ ПО ПРОГРАММЕ</t>
  </si>
  <si>
    <t>Проведение ремонтных работ в образовательных организациях</t>
  </si>
  <si>
    <t>Мероприятия по оздоровлению и организации занятости детей</t>
  </si>
  <si>
    <t>Осуществление полномочий в сфере образования</t>
  </si>
  <si>
    <t>эффективность реализации муниципальной программы - 0,9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</si>
  <si>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</si>
  <si>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Обеспечение деятельности образовательных организаций дополнительного образования  (муниципальное задание)</t>
  </si>
  <si>
    <t>Организация и проведение учебных сборов  юношей 10-х классов.</t>
  </si>
  <si>
    <t>1.5.5.</t>
  </si>
  <si>
    <t>4.5.</t>
  </si>
  <si>
    <t>Мероприятия направленные на повышение престижа профессии педагог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</si>
  <si>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</si>
  <si>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 xml:space="preserve">Оснащение пищеблоков в образовательных учреждениях </t>
  </si>
  <si>
    <t>Организация и проведение районного праздника "Юные дарования Устьи"</t>
  </si>
  <si>
    <t>Обустройство плоскостных сооружений</t>
  </si>
  <si>
    <t xml:space="preserve">Развитие технического творчества </t>
  </si>
  <si>
    <t>1.3.2.</t>
  </si>
  <si>
    <t>1.3.1</t>
  </si>
  <si>
    <t>1.4.4.</t>
  </si>
  <si>
    <t>1.4.3</t>
  </si>
  <si>
    <t>Открытие  центров цифрового, гуманитарного профиля (точки роста)</t>
  </si>
  <si>
    <t xml:space="preserve"> Создание муниципального информационно-библиотечного центра и  школьных ИБЦ</t>
  </si>
  <si>
    <t>Установка цифрового образовательного кольца</t>
  </si>
  <si>
    <t>2.4</t>
  </si>
  <si>
    <t>2.6</t>
  </si>
  <si>
    <t>2.7.</t>
  </si>
  <si>
    <t>3.4</t>
  </si>
  <si>
    <t>3.5.</t>
  </si>
  <si>
    <t>Трудоустройство несовершеннолетних, в т.ч несовершеннолетних, попавших в трудную жизненную ситуацию</t>
  </si>
  <si>
    <t>Развитие естественно-научного направления</t>
  </si>
  <si>
    <t>2020-2024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</si>
  <si>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</si>
  <si>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</si>
  <si>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Организация курсовой подготовки работников, занятых организацией летнего отдыха детей</t>
  </si>
  <si>
    <t>Создание условий, отвечающих требованиям пожарной безопасности</t>
  </si>
  <si>
    <t xml:space="preserve">Спортивные соревнования </t>
  </si>
  <si>
    <t>4.6.</t>
  </si>
  <si>
    <t>4.7.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</si>
  <si>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</si>
  <si>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</si>
  <si>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</si>
  <si>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"Развитие образования Устьянского района"</t>
  </si>
  <si>
    <t>"Развитие образования Устьянского района"</t>
  </si>
  <si>
    <t>Обеспечение доступности и качества общего образования</t>
  </si>
  <si>
    <t>100% детей, проживающих в интернате, получают горячее питание</t>
  </si>
  <si>
    <t>Соисполнители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</si>
  <si>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</si>
  <si>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</si>
  <si>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ОСШ №2</t>
  </si>
  <si>
    <t>Управление образования</t>
  </si>
  <si>
    <t xml:space="preserve"> МБОУ БЕРЕЗ.ОГ; МБОУ ОСШ №1; МБОУ ОСШ №2;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</si>
  <si>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</si>
  <si>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</si>
  <si>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 xml:space="preserve"> МБОУ БЕСТУЖ.СОШ; МБОУ ДМИТР.СОШ; МБОУ КИЗЕМ.СОШ; МБОУ МАЛОД.СОШ</t>
  </si>
  <si>
    <t>МБОУ СТРОЕВСКАЯ СОШ</t>
  </si>
  <si>
    <t>МБОУ УЛЬЯНОВСКАЯ СОШ; МБОУ УСТЬЯНСКАЯ СОШ</t>
  </si>
  <si>
    <t>МБОУ ОСОШ №2</t>
  </si>
  <si>
    <t>МБОУ ОСОШ №1; МБОУ УСТЬЯНСКАЯ СОШ</t>
  </si>
  <si>
    <t>УПРАВЛЕНИЕ КУЛЬТУРЫ; МБОУ ОСОШ №2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</si>
  <si>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</si>
  <si>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</si>
  <si>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</si>
  <si>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ДМИТ.СОШ; МБОУ КИЗ.СОШ; МБОУ СТР.СОШ; МБОУ УСТ.СОШ; МБОУ УЛ.СОШ</t>
  </si>
  <si>
    <t>МБДОУ  АЛЕНУШКА; МБОУ БЕСТУЖ.СОШ; МБОУ КИЗЕМ.СОШ; МБОУ ОСШ №1; МБОУ ОСШ №2; МБОУ УСТ.СОШ</t>
  </si>
  <si>
    <t>МБДОУ  АЛЕНУШКА;  МБОУ ЛОЙГ.СОШ; МБОУ МАЛОД.СОШ;  МБОУ Н/Ш Д/С МОНТЕССОРИ; МБОУ ОСШ №1; МБОУ ОСШ №2; МБОУ УСТ.СОШ</t>
  </si>
  <si>
    <r>
      <t>УПРАВЛЕНИЕ КУЛЬТУРЫ</t>
    </r>
    <r>
      <rPr>
        <sz val="8"/>
        <rFont val="Times New Roman"/>
        <family val="1"/>
      </rPr>
      <t>;</t>
    </r>
    <r>
      <rPr>
        <sz val="6"/>
        <rFont val="Times New Roman"/>
        <family val="1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</si>
  <si>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</si>
  <si>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-</t>
  </si>
  <si>
    <t>65% детей занимается в объединениях физкультурно-спортивной направленности</t>
  </si>
  <si>
    <t xml:space="preserve">1) 65%  детей, охваченных образовательными программами дополнительного образования физкультурно-оздоровительной и спортивной направленности;
2) 50% детей, охваченных технической деятельностью;
3) 5% детей, охваченных естественно-научной деятельностью;                                                                         4) 70% детей с ОВЗ охваченных программами дополнительного образования в том числе с помощью дистанционных технологий НП "Успех каждого ребенка";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-0,06%.
</t>
  </si>
  <si>
    <t>Подпрограмма "Развитие  общего и дополнительного образования Устьянского района"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</si>
  <si>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районе.
</t>
  </si>
  <si>
    <t>Подпрограмма 3 "Отдых  детей  в  каникулярный  период" Задача: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</si>
  <si>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Задача: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</si>
  <si>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>1) 100 % педагогов прошли курсовую переподготовку (от потребности);                                                                                                     2) 50% учителей общеобразовательных организаций, вовлеченных в национальную систему профессионального роста НП "Учитель будущего".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</si>
  <si>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30%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</si>
  <si>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>Подпрограмма 5 "Создание условий для реализации программы" Задача: обеспечить эффективной деятельности органов исполнительной власти в сфере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</si>
  <si>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</si>
  <si>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2.8.</t>
  </si>
  <si>
    <t>Благоустройство территорий муниципальных образовательных организаций</t>
  </si>
  <si>
    <t>МБОУ "ОСОШ №2"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</si>
  <si>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</si>
  <si>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1.5.6.</t>
  </si>
  <si>
    <t>Обеспечение функционирования системы персонифицированного финансирования дополнительного образования детей</t>
  </si>
  <si>
    <t>1.4.5.</t>
  </si>
  <si>
    <t>100% детей, осваивающих образовательные программы начального общего образования получают горячее питание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</si>
  <si>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</si>
  <si>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Укрепление материально-технической базы дошкольных образовательных организаций</t>
  </si>
  <si>
    <t>1.5.7.</t>
  </si>
  <si>
    <t xml:space="preserve">Обновление материально-технической базы дошкольных образовательных организаций </t>
  </si>
  <si>
    <t>Устройство душевых комнат в здании раздевалок хоккейного корта</t>
  </si>
  <si>
    <t>1.5.8.</t>
  </si>
  <si>
    <t>1.5.9.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</si>
  <si>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</si>
  <si>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</si>
  <si>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Разработка и проведение государственной экспертизы проектно-сметной документации на реконструкцию автодрома МБОУ "Устьянская СОШ"</t>
  </si>
  <si>
    <t>100% образовательных организаций оснащены пищеблоками</t>
  </si>
  <si>
    <t>субвенция ДОУ</t>
  </si>
  <si>
    <t>1 млн.автобус обл + 14 130 586,16 кап.рем.ДОУ обл</t>
  </si>
  <si>
    <t>602 506,08 МТБ ДОУ обл + 901 734 пищеблоки школа обл. - 110 000 ПСД автодром мест</t>
  </si>
  <si>
    <t>плюсом</t>
  </si>
  <si>
    <r>
  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                                                      </t>
    </r>
    <r>
      <rPr>
        <sz val="13"/>
        <rFont val="Times New Roman"/>
        <family val="1"/>
      </rPr>
      <t xml:space="preserve">
</t>
    </r>
  </si>
  <si>
    <t>1.5.10.</t>
  </si>
  <si>
    <t>1.5.11.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</si>
  <si>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</si>
  <si>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</si>
  <si>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Подвоз на олимпиады, конкурсы, мероприятия</t>
  </si>
  <si>
    <t>1.2.10.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</si>
  <si>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</si>
  <si>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</si>
  <si>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1.2.11.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</si>
  <si>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</si>
  <si>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</si>
  <si>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>к постановлению от 28 декабря 2021 года №……</t>
  </si>
  <si>
    <t>к постановлению от 21 января 2022 года № 99</t>
  </si>
  <si>
    <t>2.4.</t>
  </si>
  <si>
    <t>2.6.</t>
  </si>
  <si>
    <t>2.9.</t>
  </si>
  <si>
    <t>Реализация мероприятий по модернизации (капитальному ремонту) школьных систем образования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</si>
  <si>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</si>
  <si>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6.1.</t>
  </si>
  <si>
    <t>Участие в мероприятиях направленных на повышение престижа профессии педагог</t>
  </si>
  <si>
    <t>7.1.</t>
  </si>
  <si>
    <t>субвенция</t>
  </si>
  <si>
    <t>льготы педагогам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</si>
  <si>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</si>
  <si>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к постановлению от 25 февраля 2022 года № 349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</si>
  <si>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</si>
  <si>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</si>
  <si>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</si>
  <si>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                                                      
</t>
  </si>
  <si>
    <t>1.2.12.</t>
  </si>
  <si>
    <t>к постановлению от 11 мая 2022 года № 819</t>
  </si>
  <si>
    <t>Приложение 4</t>
  </si>
  <si>
    <t>к постановлению от 22 июня 2022 года № 1168</t>
  </si>
  <si>
    <t>к постановлению от 18 августа  2022 года № 1561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</si>
</sst>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0"/>
    <numFmt numFmtId="196" formatCode="0.0000"/>
    <numFmt numFmtId="197" formatCode="0.000000"/>
    <numFmt numFmtId="198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sz val="9"/>
      <color indexed="55"/>
      <name val="Times New Roman"/>
      <family val="1"/>
    </font>
    <font>
      <sz val="13"/>
      <color indexed="10"/>
      <name val="Times New Roman"/>
      <family val="1"/>
    </font>
    <font>
      <sz val="9"/>
      <color indexed="22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Times New Roman"/>
      <family val="1"/>
    </font>
    <font>
      <sz val="9"/>
      <color theme="0" tint="-0.24997000396251678"/>
      <name val="Times New Roman"/>
      <family val="1"/>
    </font>
    <font>
      <sz val="13"/>
      <color rgb="FFFF0000"/>
      <name val="Times New Roman"/>
      <family val="1"/>
    </font>
    <font>
      <sz val="9"/>
      <color theme="0" tint="-0.1499900072813034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171" fontId="20" fillId="24" borderId="11" xfId="0" applyNumberFormat="1" applyFont="1" applyFill="1" applyBorder="1" applyAlignment="1">
      <alignment/>
    </xf>
    <xf numFmtId="171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/>
    </xf>
    <xf numFmtId="171" fontId="42" fillId="24" borderId="0" xfId="0" applyNumberFormat="1" applyFont="1" applyFill="1" applyAlignment="1">
      <alignment/>
    </xf>
    <xf numFmtId="0" fontId="19" fillId="24" borderId="12" xfId="0" applyFont="1" applyFill="1" applyBorder="1" applyAlignment="1">
      <alignment horizontal="center" vertical="center" wrapText="1"/>
    </xf>
    <xf numFmtId="4" fontId="42" fillId="24" borderId="11" xfId="0" applyNumberFormat="1" applyFont="1" applyFill="1" applyBorder="1" applyAlignment="1">
      <alignment/>
    </xf>
    <xf numFmtId="0" fontId="42" fillId="24" borderId="0" xfId="0" applyFont="1" applyFill="1" applyAlignment="1">
      <alignment/>
    </xf>
    <xf numFmtId="0" fontId="20" fillId="24" borderId="11" xfId="0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20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9" fillId="24" borderId="0" xfId="0" applyFont="1" applyFill="1" applyAlignment="1">
      <alignment/>
    </xf>
    <xf numFmtId="0" fontId="29" fillId="0" borderId="0" xfId="0" applyFont="1" applyAlignment="1">
      <alignment vertical="center"/>
    </xf>
    <xf numFmtId="4" fontId="30" fillId="24" borderId="0" xfId="0" applyNumberFormat="1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29" fillId="24" borderId="10" xfId="0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Alignment="1">
      <alignment horizontal="right" vertical="center" indent="1"/>
    </xf>
    <xf numFmtId="0" fontId="29" fillId="0" borderId="0" xfId="0" applyFont="1" applyAlignment="1">
      <alignment horizontal="left" vertical="center" indent="1"/>
    </xf>
    <xf numFmtId="0" fontId="29" fillId="24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 indent="1"/>
    </xf>
    <xf numFmtId="0" fontId="26" fillId="24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4" fontId="29" fillId="24" borderId="0" xfId="0" applyNumberFormat="1" applyFont="1" applyFill="1" applyAlignment="1">
      <alignment/>
    </xf>
    <xf numFmtId="0" fontId="31" fillId="24" borderId="0" xfId="53" applyFont="1" applyFill="1">
      <alignment/>
      <protection/>
    </xf>
    <xf numFmtId="4" fontId="31" fillId="24" borderId="0" xfId="53" applyNumberFormat="1" applyFont="1" applyFill="1">
      <alignment/>
      <protection/>
    </xf>
    <xf numFmtId="4" fontId="31" fillId="24" borderId="0" xfId="53" applyNumberFormat="1" applyFont="1" applyFill="1" applyBorder="1">
      <alignment/>
      <protection/>
    </xf>
    <xf numFmtId="4" fontId="43" fillId="24" borderId="0" xfId="0" applyNumberFormat="1" applyFont="1" applyFill="1" applyAlignment="1">
      <alignment/>
    </xf>
    <xf numFmtId="0" fontId="20" fillId="25" borderId="10" xfId="0" applyFont="1" applyFill="1" applyBorder="1" applyAlignment="1">
      <alignment/>
    </xf>
    <xf numFmtId="4" fontId="29" fillId="25" borderId="10" xfId="0" applyNumberFormat="1" applyFont="1" applyFill="1" applyBorder="1" applyAlignment="1">
      <alignment/>
    </xf>
    <xf numFmtId="4" fontId="29" fillId="25" borderId="10" xfId="0" applyNumberFormat="1" applyFont="1" applyFill="1" applyBorder="1" applyAlignment="1">
      <alignment horizontal="right"/>
    </xf>
    <xf numFmtId="0" fontId="20" fillId="26" borderId="10" xfId="0" applyFont="1" applyFill="1" applyBorder="1" applyAlignment="1">
      <alignment/>
    </xf>
    <xf numFmtId="4" fontId="29" fillId="26" borderId="10" xfId="0" applyNumberFormat="1" applyFont="1" applyFill="1" applyBorder="1" applyAlignment="1">
      <alignment/>
    </xf>
    <xf numFmtId="4" fontId="29" fillId="26" borderId="10" xfId="0" applyNumberFormat="1" applyFont="1" applyFill="1" applyBorder="1" applyAlignment="1">
      <alignment horizontal="right"/>
    </xf>
    <xf numFmtId="0" fontId="20" fillId="25" borderId="13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4" fontId="25" fillId="24" borderId="0" xfId="0" applyNumberFormat="1" applyFont="1" applyFill="1" applyAlignment="1">
      <alignment/>
    </xf>
    <xf numFmtId="16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 vertical="center" indent="1"/>
    </xf>
    <xf numFmtId="4" fontId="26" fillId="24" borderId="0" xfId="0" applyNumberFormat="1" applyFont="1" applyFill="1" applyAlignment="1">
      <alignment/>
    </xf>
    <xf numFmtId="0" fontId="29" fillId="24" borderId="0" xfId="0" applyFont="1" applyFill="1" applyAlignment="1">
      <alignment horizontal="right"/>
    </xf>
    <xf numFmtId="4" fontId="32" fillId="24" borderId="0" xfId="0" applyNumberFormat="1" applyFont="1" applyFill="1" applyAlignment="1">
      <alignment/>
    </xf>
    <xf numFmtId="0" fontId="20" fillId="27" borderId="10" xfId="0" applyFont="1" applyFill="1" applyBorder="1" applyAlignment="1">
      <alignment/>
    </xf>
    <xf numFmtId="4" fontId="29" fillId="27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 indent="1"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1"/>
    </xf>
    <xf numFmtId="4" fontId="45" fillId="24" borderId="0" xfId="0" applyNumberFormat="1" applyFont="1" applyFill="1" applyAlignment="1">
      <alignment/>
    </xf>
    <xf numFmtId="0" fontId="45" fillId="0" borderId="0" xfId="0" applyFont="1" applyAlignment="1">
      <alignment horizontal="left" vertical="center" indent="1"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left" vertical="center" wrapText="1" indent="1"/>
    </xf>
    <xf numFmtId="0" fontId="29" fillId="24" borderId="12" xfId="0" applyFont="1" applyFill="1" applyBorder="1" applyAlignment="1">
      <alignment horizontal="left" vertical="center" wrapText="1" indent="1"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/>
    </xf>
    <xf numFmtId="0" fontId="19" fillId="27" borderId="16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19" fillId="27" borderId="19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left" vertical="center" wrapText="1" inden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 indent="1"/>
    </xf>
    <xf numFmtId="0" fontId="29" fillId="24" borderId="10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31" fillId="24" borderId="10" xfId="53" applyFont="1" applyFill="1" applyBorder="1" applyAlignment="1">
      <alignment horizontal="center" wrapText="1"/>
      <protection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left" vertical="center" wrapText="1"/>
    </xf>
    <xf numFmtId="0" fontId="28" fillId="26" borderId="12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 indent="1"/>
    </xf>
    <xf numFmtId="0" fontId="20" fillId="24" borderId="12" xfId="0" applyFont="1" applyFill="1" applyBorder="1" applyAlignment="1">
      <alignment horizontal="left" vertical="center" wrapText="1" indent="1"/>
    </xf>
    <xf numFmtId="0" fontId="20" fillId="24" borderId="14" xfId="0" applyFont="1" applyFill="1" applyBorder="1" applyAlignment="1">
      <alignment horizontal="left" vertical="center" wrapText="1" indent="1"/>
    </xf>
    <xf numFmtId="0" fontId="19" fillId="26" borderId="13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vertical="center" wrapText="1"/>
    </xf>
    <xf numFmtId="0" fontId="28" fillId="26" borderId="12" xfId="0" applyFont="1" applyFill="1" applyBorder="1" applyAlignment="1">
      <alignment vertical="center" wrapText="1"/>
    </xf>
    <xf numFmtId="14" fontId="20" fillId="24" borderId="13" xfId="0" applyNumberFormat="1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vertical="center" wrapText="1"/>
    </xf>
    <xf numFmtId="4" fontId="30" fillId="24" borderId="13" xfId="0" applyNumberFormat="1" applyFont="1" applyFill="1" applyBorder="1" applyAlignment="1">
      <alignment horizontal="center" vertical="center"/>
    </xf>
    <xf numFmtId="4" fontId="30" fillId="24" borderId="12" xfId="0" applyNumberFormat="1" applyFont="1" applyFill="1" applyBorder="1" applyAlignment="1">
      <alignment horizontal="center" vertical="center"/>
    </xf>
    <xf numFmtId="4" fontId="30" fillId="24" borderId="14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right" wrapText="1"/>
    </xf>
    <xf numFmtId="0" fontId="19" fillId="24" borderId="0" xfId="0" applyFont="1" applyFill="1" applyAlignment="1">
      <alignment horizontal="center" vertical="center" wrapText="1"/>
    </xf>
    <xf numFmtId="0" fontId="46" fillId="25" borderId="12" xfId="0" applyFont="1" applyFill="1" applyBorder="1" applyAlignment="1">
      <alignment horizontal="left" vertical="center" wrapText="1"/>
    </xf>
    <xf numFmtId="0" fontId="46" fillId="25" borderId="14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 indent="1"/>
    </xf>
    <xf numFmtId="0" fontId="25" fillId="24" borderId="12" xfId="0" applyFont="1" applyFill="1" applyBorder="1" applyAlignment="1">
      <alignment horizontal="left" vertical="center" wrapText="1" indent="1"/>
    </xf>
    <xf numFmtId="0" fontId="20" fillId="24" borderId="13" xfId="0" applyNumberFormat="1" applyFont="1" applyFill="1" applyBorder="1" applyAlignment="1">
      <alignment horizontal="center" vertical="center" wrapText="1"/>
    </xf>
    <xf numFmtId="0" fontId="20" fillId="24" borderId="12" xfId="0" applyNumberFormat="1" applyFont="1" applyFill="1" applyBorder="1" applyAlignment="1">
      <alignment horizontal="center" vertical="center" wrapText="1"/>
    </xf>
    <xf numFmtId="0" fontId="20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5-10-2021_&#1086;&#1090;&#1095;&#1105;&#1090;%20&#1079;&#1072;%209%20&#1084;&#1077;&#1089;&#1103;&#1094;&#1077;&#1074;\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5.%20&#1052;&#1072;&#1081;&#1089;&#1082;&#1072;&#1103;%20&#1089;&#1077;&#1089;&#1089;&#1080;&#1103;\&#1076;&#1083;&#1103;%20&#1087;&#1088;&#1086;&#1075;&#1088;&#1072;&#1084;&#1084;&#1099;%202022%20&#1085;&#1072;%2001.06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72;&#1087;&#1082;&#1072;%20&#1086;&#1073;&#1084;&#1077;&#1085;&#1072;\1.&#1040;&#1083;&#1105;&#1085;&#1072;\&#1051;&#1041;&#1054;%20&#1085;&#1072;%202022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5.%20&#1052;&#1072;&#1081;&#1089;&#1082;&#1072;&#1103;%20&#1089;&#1077;&#1089;&#1089;&#1080;&#1103;\&#1087;&#1083;&#1072;&#1085;&#1086;&#1074;&#1099;&#1081;%20&#1087;&#1077;&#1088;&#1080;&#1086;&#1076;%20&#1085;&#1072;%2001.06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22%20&#1082;%20&#1087;&#1088;&#1086;&#1075;&#1088;&#1072;&#1084;&#1084;&#1077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7;&#1086;&#1075;&#1083;&#1072;&#1096;&#1077;&#1085;&#1080;&#1103;\2022\&#1057;&#1086;&#1075;&#1083;&#1072;&#1096;&#1077;&#1085;&#1080;&#1077;%20&#1084;&#1086;&#1076;&#1077;&#1088;&#1085;&#1080;&#1079;&#1072;&#1094;&#1080;&#1103;\&#1055;&#1077;&#1088;&#1077;&#1088;&#1072;&#1089;&#1087;&#1088;&#1077;&#1076;&#1077;&#1083;&#1077;&#1085;&#1080;&#1077;%20&#1087;&#1086;%20&#1082;&#1072;&#1087;.&#1088;&#1077;&#1084;&#1086;&#1085;&#1090;&#1072;&#1084;%20&#1096;&#1082;&#1086;&#1083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23-2024%20&#1082;%20&#1087;&#1088;&#1086;&#1075;&#1088;&#1072;&#1084;&#1084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1.%20&#1053;&#1086;&#1103;&#1073;&#1088;&#1100;\&#1082;%20&#1085;&#1086;&#1103;&#1073;.&#1089;&#1077;&#1089;&#1089;&#1080;&#1080;\&#1050;&#1086;&#1087;&#1080;&#1103;%20&#1075;&#1088;&#1091;&#1087;&#1087;&#1080;&#1088;&#1086;&#1074;&#1082;&#1072;%20&#1085;&#1072;%2001.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2.%20&#1044;&#1077;&#1082;&#1072;&#1073;&#1088;&#1100;\&#1041;&#1102;&#1076;&#1078;&#1077;&#1090;%202022-2024%20&#1059;&#1087;&#1088;.%20&#1086;&#1073;&#1088;&#1072;&#1079;&#1086;&#1074;&#1072;&#1085;&#1080;&#110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1%20&#1075;&#1086;&#1076;\12.%20&#1044;&#1077;&#1082;&#1072;&#1073;&#1088;&#1100;\&#1050;&#1086;&#1087;&#1080;&#1103;%202021%20&#1075;&#1086;&#107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pm2\Desktop\&#1057;&#1086;&#1075;&#1083;&#1072;&#1096;&#1077;&#1085;&#1080;&#1103;\2022\&#1057;&#1086;&#1075;&#1083;&#1072;&#1096;&#1077;&#1085;&#1080;&#1077;%20&#1084;&#1086;&#1076;&#1077;&#1088;&#1085;&#1080;&#1079;&#1072;&#1094;&#1080;&#1103;\&#1056;&#1072;&#1079;&#1073;&#1080;&#1074;&#1082;&#1072;%20&#1087;&#1086;%20&#1073;&#1102;&#1076;&#1078;&#1077;&#1090;&#1072;&#1084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pm2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60;&#1077;&#1074;&#1088;&#1072;&#1083;&#1100;\&#1055;&#1088;&#1080;&#1083;&#1086;&#1078;&#1077;&#1085;&#1080;&#1103;%204,5,6%20&#1091;&#1090;&#1086;&#1095;&#1085;&#1077;&#1085;&#1080;&#1077;%2018.02.2022.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3.%20&#1052;&#1072;&#1088;&#1090;&#1086;&#1074;&#1089;&#1082;&#1072;&#1103;%20&#1089;&#1077;&#1089;&#1089;&#1080;&#1103;\&#1050;%20&#1087;&#1088;&#1086;&#1075;&#1088;&#1072;&#1084;&#1084;&#1077;%20&#1085;&#1072;%2001.04%20&#1086;&#1090;%20&#1048;&#1085;&#1085;&#1099;%20&#1087;&#1083;&#1072;&#1085;&#1086;&#1074;&#1099;&#1077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3.%20&#1052;&#1072;&#1088;&#1090;&#1086;&#1074;&#1089;&#1082;&#1072;&#1103;%20&#1089;&#1077;&#1089;&#1089;&#1080;&#1103;\&#1050;%20&#1087;&#1088;&#1086;&#1075;&#1088;&#1072;&#1084;&#1084;&#1077;%20&#1085;&#1072;%2001.04%20&#1086;&#1090;%20&#1048;&#1085;&#1085;&#1099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7;&#1086;&#1075;&#1083;&#1072;&#1096;&#1077;&#1085;&#1080;&#1103;\2022\&#1057;&#1086;&#1075;&#1083;&#1072;&#1096;&#1077;&#1085;&#1080;&#1077;%20&#1084;&#1086;&#1076;&#1077;&#1088;&#1085;&#1080;&#1079;&#1072;&#1094;&#1080;&#1103;\&#1056;&#1072;&#1089;&#1087;&#1088;&#1077;&#1076;&#1077;&#1083;&#1077;&#1085;&#1080;&#1077;%20&#1048;&#1052;&#1041;&#1058;%20&#1086;&#1073;&#1086;&#1088;&#1091;&#1076;&#1086;&#1074;&#1072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101">
          <cell r="R101">
            <v>1187310336.86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</sheetNames>
    <sheetDataSet>
      <sheetData sheetId="23">
        <row r="8">
          <cell r="N8">
            <v>557072.6</v>
          </cell>
        </row>
        <row r="15">
          <cell r="N15">
            <v>147609</v>
          </cell>
        </row>
        <row r="16">
          <cell r="AY16">
            <v>1363506</v>
          </cell>
        </row>
        <row r="18">
          <cell r="BC18">
            <v>40000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80">
          <cell r="T80">
            <v>1080229167.43</v>
          </cell>
          <cell r="U80">
            <v>1056420748.03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>
        <row r="18">
          <cell r="AG18">
            <v>810000</v>
          </cell>
        </row>
        <row r="32">
          <cell r="AG32">
            <v>2363900</v>
          </cell>
        </row>
        <row r="47">
          <cell r="AG47">
            <v>39000</v>
          </cell>
        </row>
        <row r="52">
          <cell r="R52">
            <v>750000</v>
          </cell>
        </row>
        <row r="57">
          <cell r="AG57">
            <v>100000</v>
          </cell>
        </row>
        <row r="99">
          <cell r="R99">
            <v>1191313458.95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Кизема"/>
      <sheetName val="Устьян"/>
    </sheetNames>
    <sheetDataSet>
      <sheetData sheetId="0">
        <row r="17">
          <cell r="G17">
            <v>134639682</v>
          </cell>
          <cell r="J17">
            <v>14959964.680000003</v>
          </cell>
          <cell r="AB17">
            <v>27798400</v>
          </cell>
          <cell r="AE17">
            <v>3088711.1100000013</v>
          </cell>
          <cell r="AT17">
            <v>2884872.879999999</v>
          </cell>
          <cell r="AW17">
            <v>15540116.209999993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"/>
    </sheetNames>
    <sheetDataSet>
      <sheetData sheetId="0">
        <row r="29">
          <cell r="Y29">
            <v>-16177182</v>
          </cell>
        </row>
        <row r="41">
          <cell r="Y41">
            <v>624075.24</v>
          </cell>
        </row>
        <row r="80">
          <cell r="T80">
            <v>1062635727.33</v>
          </cell>
          <cell r="U80">
            <v>1056420748.03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7"/>
    </sheetNames>
    <sheetDataSet>
      <sheetData sheetId="0">
        <row r="92">
          <cell r="R92">
            <v>1053138485.54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6"/>
    </sheetNames>
    <sheetDataSet>
      <sheetData sheetId="0">
        <row r="418">
          <cell r="G418">
            <v>200000</v>
          </cell>
          <cell r="H418">
            <v>200000</v>
          </cell>
          <cell r="I418">
            <v>200000</v>
          </cell>
        </row>
        <row r="780">
          <cell r="G780">
            <v>961569</v>
          </cell>
          <cell r="H780">
            <v>0</v>
          </cell>
          <cell r="I780">
            <v>0</v>
          </cell>
        </row>
        <row r="835">
          <cell r="G835">
            <v>50000</v>
          </cell>
          <cell r="H835">
            <v>50000</v>
          </cell>
          <cell r="I835">
            <v>50000</v>
          </cell>
        </row>
        <row r="867">
          <cell r="G867">
            <v>61500</v>
          </cell>
          <cell r="H867">
            <v>61500</v>
          </cell>
          <cell r="I867">
            <v>61500</v>
          </cell>
        </row>
        <row r="914">
          <cell r="G914">
            <v>1016140031.04</v>
          </cell>
          <cell r="H914">
            <v>1042635156.9699999</v>
          </cell>
          <cell r="I914">
            <v>1054677362.0799999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9"/>
    </sheetNames>
    <sheetDataSet>
      <sheetData sheetId="0">
        <row r="101">
          <cell r="R101">
            <v>1063557868.36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H5">
            <v>16321500</v>
          </cell>
          <cell r="J5">
            <v>1813500.01</v>
          </cell>
        </row>
        <row r="6">
          <cell r="G6">
            <v>127393818</v>
          </cell>
          <cell r="I6">
            <v>14154868.67</v>
          </cell>
        </row>
        <row r="10">
          <cell r="J10">
            <v>19238227.32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,"/>
      <sheetName val="прил 6."/>
    </sheetNames>
    <sheetDataSet>
      <sheetData sheetId="1">
        <row r="308">
          <cell r="G308">
            <v>1159254257.1999996</v>
          </cell>
          <cell r="H308">
            <v>1069134834.0999999</v>
          </cell>
          <cell r="I308">
            <v>1056420748.0299999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80">
          <cell r="T80">
            <v>1069134834.1</v>
          </cell>
          <cell r="U80">
            <v>1056420748.03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татки средств в ФК_1"/>
    </sheetNames>
    <sheetDataSet>
      <sheetData sheetId="1">
        <row r="84">
          <cell r="AH84">
            <v>112643.68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ой (2)"/>
      <sheetName val="мой"/>
      <sheetName val="Лист2"/>
      <sheetName val="Лист3"/>
    </sheetNames>
    <sheetDataSet>
      <sheetData sheetId="1">
        <row r="7">
          <cell r="P7">
            <v>9984900</v>
          </cell>
          <cell r="R7">
            <v>1109433.33</v>
          </cell>
        </row>
        <row r="13">
          <cell r="O13">
            <v>5102492</v>
          </cell>
          <cell r="Q13">
            <v>566943.5600000005</v>
          </cell>
        </row>
        <row r="14">
          <cell r="O14">
            <v>4258890</v>
          </cell>
          <cell r="Q14">
            <v>473210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5"/>
  <sheetViews>
    <sheetView view="pageBreakPreview" zoomScale="80" zoomScaleSheetLayoutView="80" zoomScalePageLayoutView="0" workbookViewId="0" topLeftCell="A1">
      <pane xSplit="7" ySplit="7" topLeftCell="H25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58" sqref="J58"/>
    </sheetView>
  </sheetViews>
  <sheetFormatPr defaultColWidth="9.140625" defaultRowHeight="12.75" outlineLevelRow="1"/>
  <cols>
    <col min="1" max="1" width="9.8515625" style="2" customWidth="1"/>
    <col min="2" max="2" width="51.00390625" style="18" customWidth="1"/>
    <col min="3" max="3" width="14.28125" style="17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1" customWidth="1"/>
    <col min="13" max="13" width="65.7109375" style="31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76" t="s">
        <v>0</v>
      </c>
      <c r="L1" s="176"/>
      <c r="M1" s="176"/>
      <c r="N1" s="3"/>
      <c r="O1" s="3"/>
      <c r="P1" s="3"/>
    </row>
    <row r="2" spans="1:14" ht="16.5">
      <c r="A2" s="1"/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22"/>
      <c r="M2" s="60" t="s">
        <v>189</v>
      </c>
      <c r="N2" s="3"/>
    </row>
    <row r="3" spans="1:13" ht="16.5">
      <c r="A3" s="1"/>
      <c r="B3" s="177" t="s">
        <v>2</v>
      </c>
      <c r="C3" s="177"/>
      <c r="D3" s="177"/>
      <c r="E3" s="177"/>
      <c r="F3" s="177"/>
      <c r="G3" s="177"/>
      <c r="H3" s="177"/>
      <c r="I3" s="177"/>
      <c r="J3" s="177"/>
      <c r="K3" s="177"/>
      <c r="L3" s="23"/>
      <c r="M3" s="28" t="s">
        <v>118</v>
      </c>
    </row>
    <row r="4" spans="1:13" ht="15.75" customHeight="1">
      <c r="A4" s="1"/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7"/>
      <c r="L4" s="24"/>
      <c r="M4" s="29"/>
    </row>
    <row r="5" spans="1:13" ht="16.5">
      <c r="A5" s="1"/>
      <c r="H5" s="34"/>
      <c r="I5" s="54">
        <f>I19+I39+I43+I47+I51+I91+I99+I115</f>
        <v>621069000</v>
      </c>
      <c r="J5" s="54">
        <f>J19+J39+J43+J47+J51+J91+J99+J115</f>
        <v>616661000</v>
      </c>
      <c r="K5" s="54">
        <f>K19+K39+K43+K47+K51+K91+K99+K115</f>
        <v>640756000</v>
      </c>
      <c r="L5" s="54">
        <f>L19+L39+L43+L47+L51+L91+L99+L115</f>
        <v>661037500</v>
      </c>
      <c r="M5" s="29"/>
    </row>
    <row r="6" spans="1:13" s="32" customFormat="1" ht="21.75" customHeight="1">
      <c r="A6" s="168" t="s">
        <v>3</v>
      </c>
      <c r="B6" s="168" t="s">
        <v>4</v>
      </c>
      <c r="C6" s="168" t="s">
        <v>5</v>
      </c>
      <c r="D6" s="168" t="s">
        <v>121</v>
      </c>
      <c r="E6" s="168" t="s">
        <v>6</v>
      </c>
      <c r="F6" s="168" t="s">
        <v>7</v>
      </c>
      <c r="G6" s="165" t="s">
        <v>8</v>
      </c>
      <c r="H6" s="166"/>
      <c r="I6" s="166"/>
      <c r="J6" s="166"/>
      <c r="K6" s="166"/>
      <c r="L6" s="167"/>
      <c r="M6" s="168" t="s">
        <v>9</v>
      </c>
    </row>
    <row r="7" spans="1:13" s="32" customFormat="1" ht="21.75" customHeight="1">
      <c r="A7" s="169"/>
      <c r="B7" s="169"/>
      <c r="C7" s="169"/>
      <c r="D7" s="169"/>
      <c r="E7" s="169"/>
      <c r="F7" s="169"/>
      <c r="G7" s="20" t="s">
        <v>10</v>
      </c>
      <c r="H7" s="19">
        <v>2020</v>
      </c>
      <c r="I7" s="33">
        <v>2021</v>
      </c>
      <c r="J7" s="19">
        <v>2022</v>
      </c>
      <c r="K7" s="19">
        <v>2023</v>
      </c>
      <c r="L7" s="19">
        <v>2024</v>
      </c>
      <c r="M7" s="169"/>
    </row>
    <row r="8" spans="1:13" s="17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5">
        <v>6</v>
      </c>
      <c r="H8" s="25">
        <v>9</v>
      </c>
      <c r="I8" s="25">
        <v>10</v>
      </c>
      <c r="J8" s="25">
        <v>10</v>
      </c>
      <c r="K8" s="25">
        <v>9</v>
      </c>
      <c r="L8" s="25">
        <v>10</v>
      </c>
      <c r="M8" s="30">
        <v>11</v>
      </c>
    </row>
    <row r="9" spans="1:14" ht="30.75" customHeight="1">
      <c r="A9" s="107" t="s">
        <v>11</v>
      </c>
      <c r="B9" s="170" t="s">
        <v>146</v>
      </c>
      <c r="C9" s="113" t="s">
        <v>125</v>
      </c>
      <c r="D9" s="134" t="s">
        <v>122</v>
      </c>
      <c r="E9" s="113" t="s">
        <v>106</v>
      </c>
      <c r="F9" s="39" t="s">
        <v>12</v>
      </c>
      <c r="G9" s="40">
        <f aca="true" t="shared" si="0" ref="G9:L9">G10+G11+G12</f>
        <v>4939811602.108999</v>
      </c>
      <c r="H9" s="40">
        <f t="shared" si="0"/>
        <v>914744851.35</v>
      </c>
      <c r="I9" s="40">
        <f t="shared" si="0"/>
        <v>1005425559.93</v>
      </c>
      <c r="J9" s="40">
        <f t="shared" si="0"/>
        <v>981177861.04</v>
      </c>
      <c r="K9" s="40">
        <f t="shared" si="0"/>
        <v>1014000206.2689999</v>
      </c>
      <c r="L9" s="40">
        <f t="shared" si="0"/>
        <v>1024463123.52</v>
      </c>
      <c r="M9" s="173"/>
      <c r="N9" s="3"/>
    </row>
    <row r="10" spans="1:14" ht="30.75" customHeight="1">
      <c r="A10" s="108"/>
      <c r="B10" s="171"/>
      <c r="C10" s="114"/>
      <c r="D10" s="139"/>
      <c r="E10" s="114"/>
      <c r="F10" s="39" t="s">
        <v>13</v>
      </c>
      <c r="G10" s="40">
        <f>H10+I10+J10+K10+L10</f>
        <v>1242985829.3400002</v>
      </c>
      <c r="H10" s="41">
        <f aca="true" t="shared" si="1" ref="H10:L12">H14+H34+H82+H94+H118</f>
        <v>231636913.84</v>
      </c>
      <c r="I10" s="41">
        <f t="shared" si="1"/>
        <v>243703588.01000002</v>
      </c>
      <c r="J10" s="41">
        <f t="shared" si="1"/>
        <v>260576154.56</v>
      </c>
      <c r="K10" s="41">
        <f t="shared" si="1"/>
        <v>255467305.61</v>
      </c>
      <c r="L10" s="41">
        <f t="shared" si="1"/>
        <v>251601867.32</v>
      </c>
      <c r="M10" s="174"/>
      <c r="N10" s="3"/>
    </row>
    <row r="11" spans="1:14" ht="30.75" customHeight="1">
      <c r="A11" s="108"/>
      <c r="B11" s="171"/>
      <c r="C11" s="114"/>
      <c r="D11" s="139"/>
      <c r="E11" s="114"/>
      <c r="F11" s="39" t="s">
        <v>14</v>
      </c>
      <c r="G11" s="40">
        <f>H11+I11+J11+K11+L11</f>
        <v>3470932012.574</v>
      </c>
      <c r="H11" s="41">
        <f t="shared" si="1"/>
        <v>662685803.51</v>
      </c>
      <c r="I11" s="41">
        <f t="shared" si="1"/>
        <v>695744357.4599999</v>
      </c>
      <c r="J11" s="41">
        <f t="shared" si="1"/>
        <v>674443477.01</v>
      </c>
      <c r="K11" s="41">
        <f t="shared" si="1"/>
        <v>712485701.614</v>
      </c>
      <c r="L11" s="41">
        <f t="shared" si="1"/>
        <v>725572672.98</v>
      </c>
      <c r="M11" s="174"/>
      <c r="N11" s="3"/>
    </row>
    <row r="12" spans="1:14" ht="30.75" customHeight="1">
      <c r="A12" s="109"/>
      <c r="B12" s="172"/>
      <c r="C12" s="115"/>
      <c r="D12" s="140"/>
      <c r="E12" s="115"/>
      <c r="F12" s="39" t="s">
        <v>15</v>
      </c>
      <c r="G12" s="40">
        <f>H12+I12+J12+K12+L12</f>
        <v>225893760.195</v>
      </c>
      <c r="H12" s="41">
        <f t="shared" si="1"/>
        <v>20422134</v>
      </c>
      <c r="I12" s="41">
        <f t="shared" si="1"/>
        <v>65977614.45999999</v>
      </c>
      <c r="J12" s="41">
        <f t="shared" si="1"/>
        <v>46158229.47</v>
      </c>
      <c r="K12" s="41">
        <f t="shared" si="1"/>
        <v>46047199.045</v>
      </c>
      <c r="L12" s="41">
        <f t="shared" si="1"/>
        <v>47288583.22</v>
      </c>
      <c r="M12" s="175"/>
      <c r="N12" s="3"/>
    </row>
    <row r="13" spans="1:14" ht="21.75" customHeight="1">
      <c r="A13" s="160" t="s">
        <v>16</v>
      </c>
      <c r="B13" s="162" t="s">
        <v>17</v>
      </c>
      <c r="C13" s="151" t="s">
        <v>125</v>
      </c>
      <c r="D13" s="154" t="s">
        <v>122</v>
      </c>
      <c r="E13" s="151" t="s">
        <v>106</v>
      </c>
      <c r="F13" s="42" t="s">
        <v>12</v>
      </c>
      <c r="G13" s="43">
        <f aca="true" t="shared" si="2" ref="G13:L13">G14+G15+G16</f>
        <v>1595556983.5500002</v>
      </c>
      <c r="H13" s="43">
        <f t="shared" si="2"/>
        <v>300410153.05</v>
      </c>
      <c r="I13" s="43">
        <f t="shared" si="2"/>
        <v>316978109.1</v>
      </c>
      <c r="J13" s="43">
        <f t="shared" si="2"/>
        <v>316491726.38</v>
      </c>
      <c r="K13" s="43">
        <f t="shared" si="2"/>
        <v>328634315.39</v>
      </c>
      <c r="L13" s="43">
        <f t="shared" si="2"/>
        <v>333042679.63</v>
      </c>
      <c r="M13" s="81" t="s">
        <v>153</v>
      </c>
      <c r="N13" s="3"/>
    </row>
    <row r="14" spans="1:14" ht="21.75" customHeight="1">
      <c r="A14" s="161"/>
      <c r="B14" s="163"/>
      <c r="C14" s="152"/>
      <c r="D14" s="155"/>
      <c r="E14" s="152"/>
      <c r="F14" s="42" t="s">
        <v>13</v>
      </c>
      <c r="G14" s="43">
        <f>H14+I14+J14+K14+L14</f>
        <v>494637684.38</v>
      </c>
      <c r="H14" s="44">
        <f aca="true" t="shared" si="3" ref="H14:L16">H18+H22+H26+H30</f>
        <v>96147672.62</v>
      </c>
      <c r="I14" s="44">
        <f t="shared" si="3"/>
        <v>99438072.75999999</v>
      </c>
      <c r="J14" s="44">
        <f>J18+J22+J26+J30</f>
        <v>100148170</v>
      </c>
      <c r="K14" s="44">
        <f t="shared" si="3"/>
        <v>99281183</v>
      </c>
      <c r="L14" s="44">
        <f t="shared" si="3"/>
        <v>99622586</v>
      </c>
      <c r="M14" s="82"/>
      <c r="N14" s="3"/>
    </row>
    <row r="15" spans="1:14" ht="21.75" customHeight="1">
      <c r="A15" s="161"/>
      <c r="B15" s="163"/>
      <c r="C15" s="152"/>
      <c r="D15" s="155"/>
      <c r="E15" s="152"/>
      <c r="F15" s="42" t="s">
        <v>14</v>
      </c>
      <c r="G15" s="43">
        <f>H15+I15+J15+K15+L15</f>
        <v>1100919299.17</v>
      </c>
      <c r="H15" s="44">
        <f t="shared" si="3"/>
        <v>204262480.43</v>
      </c>
      <c r="I15" s="44">
        <f t="shared" si="3"/>
        <v>217540036.34</v>
      </c>
      <c r="J15" s="44">
        <f>J19+J23+J27+J31</f>
        <v>216343556.38</v>
      </c>
      <c r="K15" s="44">
        <f t="shared" si="3"/>
        <v>229353132.39</v>
      </c>
      <c r="L15" s="44">
        <f t="shared" si="3"/>
        <v>233420093.63</v>
      </c>
      <c r="M15" s="82"/>
      <c r="N15" s="3"/>
    </row>
    <row r="16" spans="1:14" ht="21.75" customHeight="1">
      <c r="A16" s="161"/>
      <c r="B16" s="163"/>
      <c r="C16" s="152"/>
      <c r="D16" s="156"/>
      <c r="E16" s="152"/>
      <c r="F16" s="42" t="s">
        <v>15</v>
      </c>
      <c r="G16" s="43">
        <f>H16+I16+J16+K16+L16</f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  <c r="L16" s="44">
        <f t="shared" si="3"/>
        <v>0</v>
      </c>
      <c r="M16" s="82"/>
      <c r="N16" s="3"/>
    </row>
    <row r="17" spans="1:14" ht="21.75" customHeight="1">
      <c r="A17" s="164" t="s">
        <v>18</v>
      </c>
      <c r="B17" s="142" t="s">
        <v>19</v>
      </c>
      <c r="C17" s="101" t="s">
        <v>125</v>
      </c>
      <c r="D17" s="103" t="s">
        <v>122</v>
      </c>
      <c r="E17" s="101" t="s">
        <v>106</v>
      </c>
      <c r="F17" s="16" t="s">
        <v>12</v>
      </c>
      <c r="G17" s="26">
        <f aca="true" t="shared" si="4" ref="G17:L17">G18+G19+G20</f>
        <v>1456161021.99</v>
      </c>
      <c r="H17" s="26">
        <f t="shared" si="4"/>
        <v>271391628.05</v>
      </c>
      <c r="I17" s="26">
        <f t="shared" si="4"/>
        <v>286562951.94</v>
      </c>
      <c r="J17" s="26">
        <f t="shared" si="4"/>
        <v>292765935</v>
      </c>
      <c r="K17" s="26">
        <f t="shared" si="4"/>
        <v>299447900</v>
      </c>
      <c r="L17" s="26">
        <f t="shared" si="4"/>
        <v>305992607</v>
      </c>
      <c r="M17" s="82"/>
      <c r="N17" s="3"/>
    </row>
    <row r="18" spans="1:14" ht="21.75" customHeight="1">
      <c r="A18" s="117"/>
      <c r="B18" s="143"/>
      <c r="C18" s="102"/>
      <c r="D18" s="104"/>
      <c r="E18" s="102"/>
      <c r="F18" s="16" t="s">
        <v>13</v>
      </c>
      <c r="G18" s="26">
        <f>H18+I18+J18+K18+L18</f>
        <v>490638051.06</v>
      </c>
      <c r="H18" s="26">
        <v>95367218.62</v>
      </c>
      <c r="I18" s="26">
        <v>98500729.44</v>
      </c>
      <c r="J18" s="26">
        <f>99927242-500000</f>
        <v>99427242</v>
      </c>
      <c r="K18" s="26">
        <v>98500729</v>
      </c>
      <c r="L18" s="26">
        <v>98842132</v>
      </c>
      <c r="M18" s="82"/>
      <c r="N18" s="3"/>
    </row>
    <row r="19" spans="1:14" ht="21.75" customHeight="1">
      <c r="A19" s="117"/>
      <c r="B19" s="143"/>
      <c r="C19" s="102"/>
      <c r="D19" s="104"/>
      <c r="E19" s="102"/>
      <c r="F19" s="16" t="s">
        <v>14</v>
      </c>
      <c r="G19" s="26">
        <f>H19+I19+J19+K19+L19</f>
        <v>965522970.9300001</v>
      </c>
      <c r="H19" s="26">
        <f>176152309.43-127900</f>
        <v>176024409.43</v>
      </c>
      <c r="I19" s="26">
        <f>176724522.5-127900+4581200+1190100+5694300</f>
        <v>188062222.5</v>
      </c>
      <c r="J19" s="26">
        <f>193465907-127214</f>
        <v>193338693</v>
      </c>
      <c r="K19" s="26">
        <f>201074385-127214</f>
        <v>200947171</v>
      </c>
      <c r="L19" s="26">
        <f>207277689-127214</f>
        <v>207150475</v>
      </c>
      <c r="M19" s="82"/>
      <c r="N19" s="3"/>
    </row>
    <row r="20" spans="1:14" ht="21.75" customHeight="1">
      <c r="A20" s="117"/>
      <c r="B20" s="143"/>
      <c r="C20" s="102"/>
      <c r="D20" s="105"/>
      <c r="E20" s="102"/>
      <c r="F20" s="16" t="s">
        <v>15</v>
      </c>
      <c r="G20" s="26">
        <f>H20+I20+J20+K20+L20</f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82"/>
      <c r="N20" s="3"/>
    </row>
    <row r="21" spans="1:14" ht="21.75" customHeight="1">
      <c r="A21" s="116" t="s">
        <v>20</v>
      </c>
      <c r="B21" s="142" t="s">
        <v>21</v>
      </c>
      <c r="C21" s="101" t="s">
        <v>125</v>
      </c>
      <c r="D21" s="103" t="s">
        <v>122</v>
      </c>
      <c r="E21" s="101" t="s">
        <v>106</v>
      </c>
      <c r="F21" s="16" t="s">
        <v>12</v>
      </c>
      <c r="G21" s="26">
        <f aca="true" t="shared" si="5" ref="G21:L21">G22+G23+G24</f>
        <v>3999633.3200000003</v>
      </c>
      <c r="H21" s="26">
        <f t="shared" si="5"/>
        <v>780454</v>
      </c>
      <c r="I21" s="26">
        <f t="shared" si="5"/>
        <v>937343.3200000001</v>
      </c>
      <c r="J21" s="26">
        <f t="shared" si="5"/>
        <v>720928</v>
      </c>
      <c r="K21" s="26">
        <f t="shared" si="5"/>
        <v>780454</v>
      </c>
      <c r="L21" s="26">
        <f t="shared" si="5"/>
        <v>780454</v>
      </c>
      <c r="M21" s="82"/>
      <c r="N21" s="3"/>
    </row>
    <row r="22" spans="1:17" ht="21.75" customHeight="1">
      <c r="A22" s="117"/>
      <c r="B22" s="143"/>
      <c r="C22" s="102"/>
      <c r="D22" s="104"/>
      <c r="E22" s="102"/>
      <c r="F22" s="16" t="s">
        <v>13</v>
      </c>
      <c r="G22" s="26">
        <f>H22+I22+J22+K22+L22</f>
        <v>3999633.3200000003</v>
      </c>
      <c r="H22" s="26">
        <v>780454</v>
      </c>
      <c r="I22" s="26">
        <f>858767.75+78575.57</f>
        <v>937343.3200000001</v>
      </c>
      <c r="J22" s="26">
        <v>720928</v>
      </c>
      <c r="K22" s="26">
        <v>780454</v>
      </c>
      <c r="L22" s="26">
        <v>780454</v>
      </c>
      <c r="M22" s="82"/>
      <c r="N22" s="3"/>
      <c r="Q22" s="3"/>
    </row>
    <row r="23" spans="1:14" ht="21.75" customHeight="1">
      <c r="A23" s="117"/>
      <c r="B23" s="143"/>
      <c r="C23" s="102"/>
      <c r="D23" s="104"/>
      <c r="E23" s="102"/>
      <c r="F23" s="16" t="s">
        <v>14</v>
      </c>
      <c r="G23" s="26">
        <f>H23+I23+J23+K23+L23</f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82"/>
      <c r="N23" s="3"/>
    </row>
    <row r="24" spans="1:14" ht="21.75" customHeight="1">
      <c r="A24" s="118"/>
      <c r="B24" s="144"/>
      <c r="C24" s="102"/>
      <c r="D24" s="105"/>
      <c r="E24" s="106"/>
      <c r="F24" s="16" t="s">
        <v>15</v>
      </c>
      <c r="G24" s="26">
        <f>H24+I24+J24+K24+L24</f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82"/>
      <c r="N24" s="3"/>
    </row>
    <row r="25" spans="1:14" ht="21.75" customHeight="1">
      <c r="A25" s="116" t="s">
        <v>22</v>
      </c>
      <c r="B25" s="142" t="s">
        <v>23</v>
      </c>
      <c r="C25" s="101" t="s">
        <v>125</v>
      </c>
      <c r="D25" s="103" t="s">
        <v>122</v>
      </c>
      <c r="E25" s="101" t="s">
        <v>106</v>
      </c>
      <c r="F25" s="16" t="s">
        <v>12</v>
      </c>
      <c r="G25" s="26">
        <f aca="true" t="shared" si="6" ref="G25:L25">G26+G27+G28</f>
        <v>92293197.84</v>
      </c>
      <c r="H25" s="26">
        <f t="shared" si="6"/>
        <v>18787671</v>
      </c>
      <c r="I25" s="26">
        <f t="shared" si="6"/>
        <v>19609249.84</v>
      </c>
      <c r="J25" s="26">
        <f t="shared" si="6"/>
        <v>15678454</v>
      </c>
      <c r="K25" s="26">
        <f t="shared" si="6"/>
        <v>20365224</v>
      </c>
      <c r="L25" s="26">
        <f t="shared" si="6"/>
        <v>17852599</v>
      </c>
      <c r="M25" s="82"/>
      <c r="N25" s="3"/>
    </row>
    <row r="26" spans="1:14" ht="21.75" customHeight="1">
      <c r="A26" s="117"/>
      <c r="B26" s="143"/>
      <c r="C26" s="102"/>
      <c r="D26" s="104"/>
      <c r="E26" s="102"/>
      <c r="F26" s="16" t="s">
        <v>13</v>
      </c>
      <c r="G26" s="26">
        <f>H26+I26+J26+K26+L26</f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82"/>
      <c r="N26" s="3"/>
    </row>
    <row r="27" spans="1:14" ht="21.75" customHeight="1">
      <c r="A27" s="117"/>
      <c r="B27" s="143"/>
      <c r="C27" s="102"/>
      <c r="D27" s="104"/>
      <c r="E27" s="102"/>
      <c r="F27" s="16" t="s">
        <v>14</v>
      </c>
      <c r="G27" s="26">
        <f>H27+I27+J27+K27+L27</f>
        <v>92293197.84</v>
      </c>
      <c r="H27" s="26">
        <v>18787671</v>
      </c>
      <c r="I27" s="26">
        <v>19609249.84</v>
      </c>
      <c r="J27" s="26">
        <v>15678454</v>
      </c>
      <c r="K27" s="26">
        <v>20365224</v>
      </c>
      <c r="L27" s="26">
        <v>17852599</v>
      </c>
      <c r="M27" s="82"/>
      <c r="N27" s="3"/>
    </row>
    <row r="28" spans="1:15" ht="21.75" customHeight="1">
      <c r="A28" s="118"/>
      <c r="B28" s="144"/>
      <c r="C28" s="102"/>
      <c r="D28" s="105"/>
      <c r="E28" s="106"/>
      <c r="F28" s="16" t="s">
        <v>15</v>
      </c>
      <c r="G28" s="26">
        <f>H28+I28+J28+K28+L28</f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82"/>
      <c r="O28" s="3"/>
    </row>
    <row r="29" spans="1:14" ht="21.75" customHeight="1">
      <c r="A29" s="116" t="s">
        <v>107</v>
      </c>
      <c r="B29" s="142" t="s">
        <v>108</v>
      </c>
      <c r="C29" s="101" t="s">
        <v>125</v>
      </c>
      <c r="D29" s="103" t="s">
        <v>122</v>
      </c>
      <c r="E29" s="101" t="s">
        <v>106</v>
      </c>
      <c r="F29" s="16" t="s">
        <v>12</v>
      </c>
      <c r="G29" s="26">
        <f aca="true" t="shared" si="7" ref="G29:L29">G30+G31+G32</f>
        <v>43103130.4</v>
      </c>
      <c r="H29" s="26">
        <f t="shared" si="7"/>
        <v>9450400</v>
      </c>
      <c r="I29" s="26">
        <f t="shared" si="7"/>
        <v>9868564</v>
      </c>
      <c r="J29" s="26">
        <f t="shared" si="7"/>
        <v>7326409.38</v>
      </c>
      <c r="K29" s="26">
        <f t="shared" si="7"/>
        <v>8040737.39</v>
      </c>
      <c r="L29" s="26">
        <f t="shared" si="7"/>
        <v>8417019.63</v>
      </c>
      <c r="M29" s="82"/>
      <c r="N29" s="3"/>
    </row>
    <row r="30" spans="1:13" ht="21.75" customHeight="1">
      <c r="A30" s="117"/>
      <c r="B30" s="143"/>
      <c r="C30" s="102"/>
      <c r="D30" s="104"/>
      <c r="E30" s="102"/>
      <c r="F30" s="16" t="s">
        <v>13</v>
      </c>
      <c r="G30" s="26">
        <f>H30+I30+J30+K30+L30</f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82"/>
    </row>
    <row r="31" spans="1:13" ht="21.75" customHeight="1">
      <c r="A31" s="117"/>
      <c r="B31" s="143"/>
      <c r="C31" s="102"/>
      <c r="D31" s="104"/>
      <c r="E31" s="102"/>
      <c r="F31" s="16" t="s">
        <v>14</v>
      </c>
      <c r="G31" s="26">
        <f>H31+I31+J31+K31+L31</f>
        <v>43103130.4</v>
      </c>
      <c r="H31" s="26">
        <v>9450400</v>
      </c>
      <c r="I31" s="26">
        <v>9868564</v>
      </c>
      <c r="J31" s="26">
        <v>7326409.38</v>
      </c>
      <c r="K31" s="26">
        <v>8040737.39</v>
      </c>
      <c r="L31" s="26">
        <v>8417019.63</v>
      </c>
      <c r="M31" s="82"/>
    </row>
    <row r="32" spans="1:15" ht="21.75" customHeight="1">
      <c r="A32" s="118"/>
      <c r="B32" s="144"/>
      <c r="C32" s="102"/>
      <c r="D32" s="105"/>
      <c r="E32" s="106"/>
      <c r="F32" s="16" t="s">
        <v>15</v>
      </c>
      <c r="G32" s="26">
        <f>H32+I32+J32+K32+L32</f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122"/>
      <c r="O32" s="3"/>
    </row>
    <row r="33" spans="1:13" ht="21.75" customHeight="1">
      <c r="A33" s="145" t="s">
        <v>24</v>
      </c>
      <c r="B33" s="148" t="s">
        <v>119</v>
      </c>
      <c r="C33" s="151" t="s">
        <v>125</v>
      </c>
      <c r="D33" s="154" t="s">
        <v>123</v>
      </c>
      <c r="E33" s="151" t="s">
        <v>106</v>
      </c>
      <c r="F33" s="42" t="s">
        <v>12</v>
      </c>
      <c r="G33" s="43">
        <f aca="true" t="shared" si="8" ref="G33:L33">G34+G35+G36</f>
        <v>2707570852.25</v>
      </c>
      <c r="H33" s="43">
        <f t="shared" si="8"/>
        <v>504882065.72</v>
      </c>
      <c r="I33" s="43">
        <f t="shared" si="8"/>
        <v>546499802.72</v>
      </c>
      <c r="J33" s="43">
        <f t="shared" si="8"/>
        <v>537247131.81</v>
      </c>
      <c r="K33" s="43">
        <f t="shared" si="8"/>
        <v>555886993</v>
      </c>
      <c r="L33" s="43">
        <f t="shared" si="8"/>
        <v>563054859</v>
      </c>
      <c r="M33" s="81" t="s">
        <v>187</v>
      </c>
    </row>
    <row r="34" spans="1:41" ht="21.75" customHeight="1">
      <c r="A34" s="146"/>
      <c r="B34" s="149"/>
      <c r="C34" s="152"/>
      <c r="D34" s="155"/>
      <c r="E34" s="152"/>
      <c r="F34" s="42" t="s">
        <v>13</v>
      </c>
      <c r="G34" s="43">
        <f>H34+I34+J34+K34+L34</f>
        <v>622374951.87</v>
      </c>
      <c r="H34" s="43">
        <f>H38+H42+H46+H50+H54+H58+H62+H66+H78+H70</f>
        <v>113653893.15</v>
      </c>
      <c r="I34" s="43">
        <f>I38+I42+I46+I50+I54+I58+I62+I66+I78+I70+I74</f>
        <v>121160488.91000001</v>
      </c>
      <c r="J34" s="43">
        <f>J38+J42+J46+J50+J54+J58+J62+J66+J78+J70+J74</f>
        <v>131252573.81</v>
      </c>
      <c r="K34" s="43">
        <f>K38+K42+K46+K50+K54+K58+K62+K66+K78+K70+K74</f>
        <v>128120829</v>
      </c>
      <c r="L34" s="43">
        <f>L38+L42+L46+L50+L54+L58+L62+L66+L78+L70+L74</f>
        <v>128187167</v>
      </c>
      <c r="M34" s="82"/>
      <c r="AO34" s="3">
        <f>SUM('бюджет на 2022-2024'!$G$33:$AN$80)</f>
        <v>21660566818.000004</v>
      </c>
    </row>
    <row r="35" spans="1:41" ht="21.75" customHeight="1">
      <c r="A35" s="146"/>
      <c r="B35" s="149"/>
      <c r="C35" s="152"/>
      <c r="D35" s="155"/>
      <c r="E35" s="152"/>
      <c r="F35" s="42" t="s">
        <v>14</v>
      </c>
      <c r="G35" s="43">
        <f>H35+I35+J35+K35+L35</f>
        <v>1952113980.38</v>
      </c>
      <c r="H35" s="43">
        <f>H39+H43+H47+H51+H55+H59+H63+H67+H79+H71</f>
        <v>380646772.57</v>
      </c>
      <c r="I35" s="43">
        <f aca="true" t="shared" si="9" ref="I35:L36">I39+I43+I47+I51+I55+I59+I63+I67+I79+I71+I75</f>
        <v>394559963.81</v>
      </c>
      <c r="J35" s="43">
        <f t="shared" si="9"/>
        <v>375715208</v>
      </c>
      <c r="K35" s="43">
        <f t="shared" si="9"/>
        <v>397486814</v>
      </c>
      <c r="L35" s="43">
        <f t="shared" si="9"/>
        <v>403705222</v>
      </c>
      <c r="M35" s="82"/>
      <c r="AO35" s="3">
        <f>SUM('бюджет на 2022-2024'!$G$33:$AN$80)</f>
        <v>21660566818.000004</v>
      </c>
    </row>
    <row r="36" spans="1:41" ht="21.75" customHeight="1">
      <c r="A36" s="147"/>
      <c r="B36" s="150"/>
      <c r="C36" s="153"/>
      <c r="D36" s="156"/>
      <c r="E36" s="153"/>
      <c r="F36" s="42" t="s">
        <v>15</v>
      </c>
      <c r="G36" s="43">
        <f>H36+I36+J36+K36+L36</f>
        <v>133081920</v>
      </c>
      <c r="H36" s="43">
        <f>H40+H44+H48+H52+H56+H60+H64+H68+H80+H72</f>
        <v>10581400</v>
      </c>
      <c r="I36" s="43">
        <f t="shared" si="9"/>
        <v>30779350</v>
      </c>
      <c r="J36" s="43">
        <f t="shared" si="9"/>
        <v>30279350</v>
      </c>
      <c r="K36" s="43">
        <f t="shared" si="9"/>
        <v>30279350</v>
      </c>
      <c r="L36" s="43">
        <f t="shared" si="9"/>
        <v>31162470</v>
      </c>
      <c r="M36" s="82"/>
      <c r="AO36" s="3">
        <f>SUM('бюджет на 2022-2024'!$G$33:$AN$80)</f>
        <v>21660566818.000004</v>
      </c>
    </row>
    <row r="37" spans="1:41" ht="21.75" customHeight="1">
      <c r="A37" s="116" t="s">
        <v>25</v>
      </c>
      <c r="B37" s="98" t="s">
        <v>26</v>
      </c>
      <c r="C37" s="101" t="s">
        <v>125</v>
      </c>
      <c r="D37" s="103" t="s">
        <v>123</v>
      </c>
      <c r="E37" s="101" t="s">
        <v>106</v>
      </c>
      <c r="F37" s="16" t="s">
        <v>12</v>
      </c>
      <c r="G37" s="26">
        <f aca="true" t="shared" si="10" ref="G37:L37">G38+G39+G40</f>
        <v>3250000</v>
      </c>
      <c r="H37" s="26">
        <f t="shared" si="10"/>
        <v>650000</v>
      </c>
      <c r="I37" s="26">
        <f t="shared" si="10"/>
        <v>650000</v>
      </c>
      <c r="J37" s="26">
        <f t="shared" si="10"/>
        <v>650000</v>
      </c>
      <c r="K37" s="26">
        <f t="shared" si="10"/>
        <v>650000</v>
      </c>
      <c r="L37" s="26">
        <f t="shared" si="10"/>
        <v>650000</v>
      </c>
      <c r="M37" s="82"/>
      <c r="AO37" s="3">
        <f>SUM('бюджет на 2022-2024'!$G$33:$AN$80)</f>
        <v>21660566818.000004</v>
      </c>
    </row>
    <row r="38" spans="1:41" ht="21.75" customHeight="1">
      <c r="A38" s="117"/>
      <c r="B38" s="99"/>
      <c r="C38" s="102"/>
      <c r="D38" s="104"/>
      <c r="E38" s="102"/>
      <c r="F38" s="16" t="s">
        <v>13</v>
      </c>
      <c r="G38" s="26">
        <f>H38+I38+J38+K38+L38</f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82"/>
      <c r="AO38" s="3">
        <f>SUM(AO34:AO37)</f>
        <v>86642267272.00002</v>
      </c>
    </row>
    <row r="39" spans="1:13" ht="21.75" customHeight="1">
      <c r="A39" s="117"/>
      <c r="B39" s="99"/>
      <c r="C39" s="102"/>
      <c r="D39" s="104"/>
      <c r="E39" s="102"/>
      <c r="F39" s="16" t="s">
        <v>14</v>
      </c>
      <c r="G39" s="26">
        <f>H39+I39+J39+K39+L39</f>
        <v>3250000</v>
      </c>
      <c r="H39" s="26">
        <v>650000</v>
      </c>
      <c r="I39" s="26">
        <v>650000</v>
      </c>
      <c r="J39" s="26">
        <v>650000</v>
      </c>
      <c r="K39" s="26">
        <v>650000</v>
      </c>
      <c r="L39" s="26">
        <v>650000</v>
      </c>
      <c r="M39" s="82"/>
    </row>
    <row r="40" spans="1:14" ht="21.75" customHeight="1">
      <c r="A40" s="118"/>
      <c r="B40" s="100"/>
      <c r="C40" s="102"/>
      <c r="D40" s="105"/>
      <c r="E40" s="106"/>
      <c r="F40" s="16" t="s">
        <v>15</v>
      </c>
      <c r="G40" s="26">
        <f>H40+I40+J40+K40+L40</f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82"/>
      <c r="N40" s="3"/>
    </row>
    <row r="41" spans="1:15" ht="21.75" customHeight="1">
      <c r="A41" s="116" t="s">
        <v>27</v>
      </c>
      <c r="B41" s="98" t="s">
        <v>28</v>
      </c>
      <c r="C41" s="101" t="s">
        <v>125</v>
      </c>
      <c r="D41" s="103" t="s">
        <v>123</v>
      </c>
      <c r="E41" s="101" t="s">
        <v>106</v>
      </c>
      <c r="F41" s="16" t="s">
        <v>12</v>
      </c>
      <c r="G41" s="26">
        <f aca="true" t="shared" si="11" ref="G41:L41">G42+G43+G44</f>
        <v>43621689</v>
      </c>
      <c r="H41" s="26">
        <f t="shared" si="11"/>
        <v>8744137</v>
      </c>
      <c r="I41" s="26">
        <f t="shared" si="11"/>
        <v>8816768</v>
      </c>
      <c r="J41" s="26">
        <f t="shared" si="11"/>
        <v>8686928</v>
      </c>
      <c r="K41" s="26">
        <f t="shared" si="11"/>
        <v>8686928</v>
      </c>
      <c r="L41" s="26">
        <f t="shared" si="11"/>
        <v>8686928</v>
      </c>
      <c r="M41" s="82"/>
      <c r="O41" s="3"/>
    </row>
    <row r="42" spans="1:13" ht="21.75" customHeight="1">
      <c r="A42" s="117"/>
      <c r="B42" s="99"/>
      <c r="C42" s="102"/>
      <c r="D42" s="104"/>
      <c r="E42" s="102"/>
      <c r="F42" s="16" t="s">
        <v>13</v>
      </c>
      <c r="G42" s="26">
        <f>H42+I42+J42+K42+L42</f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82"/>
    </row>
    <row r="43" spans="1:14" ht="21.75" customHeight="1">
      <c r="A43" s="117"/>
      <c r="B43" s="99"/>
      <c r="C43" s="102"/>
      <c r="D43" s="104"/>
      <c r="E43" s="102"/>
      <c r="F43" s="16" t="s">
        <v>14</v>
      </c>
      <c r="G43" s="26">
        <f>H43+I43+J43+K43+L43</f>
        <v>43621689</v>
      </c>
      <c r="H43" s="26">
        <v>8744137</v>
      </c>
      <c r="I43" s="26">
        <f>8816768</f>
        <v>8816768</v>
      </c>
      <c r="J43" s="26">
        <v>8686928</v>
      </c>
      <c r="K43" s="26">
        <v>8686928</v>
      </c>
      <c r="L43" s="26">
        <v>8686928</v>
      </c>
      <c r="M43" s="82"/>
      <c r="N43" s="6">
        <f>'[1]9 мес 2021'!$H$25-I43</f>
        <v>0</v>
      </c>
    </row>
    <row r="44" spans="1:14" ht="21.75" customHeight="1">
      <c r="A44" s="118"/>
      <c r="B44" s="100"/>
      <c r="C44" s="102"/>
      <c r="D44" s="105"/>
      <c r="E44" s="106"/>
      <c r="F44" s="16" t="s">
        <v>15</v>
      </c>
      <c r="G44" s="26">
        <f>H44+I44+J44+K44+L44</f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82"/>
      <c r="N44" s="7"/>
    </row>
    <row r="45" spans="1:14" ht="21.75" customHeight="1">
      <c r="A45" s="116" t="s">
        <v>29</v>
      </c>
      <c r="B45" s="98" t="s">
        <v>31</v>
      </c>
      <c r="C45" s="101" t="s">
        <v>125</v>
      </c>
      <c r="D45" s="103" t="s">
        <v>123</v>
      </c>
      <c r="E45" s="101" t="s">
        <v>106</v>
      </c>
      <c r="F45" s="16" t="s">
        <v>12</v>
      </c>
      <c r="G45" s="26">
        <f aca="true" t="shared" si="12" ref="G45:L45">G46+G47+G48</f>
        <v>9455460</v>
      </c>
      <c r="H45" s="26">
        <f t="shared" si="12"/>
        <v>1891092</v>
      </c>
      <c r="I45" s="26">
        <f t="shared" si="12"/>
        <v>1891092</v>
      </c>
      <c r="J45" s="26">
        <f t="shared" si="12"/>
        <v>1891092</v>
      </c>
      <c r="K45" s="26">
        <f t="shared" si="12"/>
        <v>1891092</v>
      </c>
      <c r="L45" s="26">
        <f t="shared" si="12"/>
        <v>1891092</v>
      </c>
      <c r="M45" s="82"/>
      <c r="N45" s="7"/>
    </row>
    <row r="46" spans="1:14" ht="21.75" customHeight="1">
      <c r="A46" s="117"/>
      <c r="B46" s="99"/>
      <c r="C46" s="102"/>
      <c r="D46" s="104"/>
      <c r="E46" s="102"/>
      <c r="F46" s="16" t="s">
        <v>13</v>
      </c>
      <c r="G46" s="26">
        <f>H46+I46+J46+K46+L46</f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82"/>
      <c r="N46" s="7"/>
    </row>
    <row r="47" spans="1:14" ht="21.75" customHeight="1">
      <c r="A47" s="117"/>
      <c r="B47" s="99"/>
      <c r="C47" s="102"/>
      <c r="D47" s="104"/>
      <c r="E47" s="102"/>
      <c r="F47" s="16" t="s">
        <v>14</v>
      </c>
      <c r="G47" s="26">
        <f>H47+I47+J47+K47+L47</f>
        <v>9455460</v>
      </c>
      <c r="H47" s="26">
        <v>1891092</v>
      </c>
      <c r="I47" s="26">
        <v>1891092</v>
      </c>
      <c r="J47" s="26">
        <v>1891092</v>
      </c>
      <c r="K47" s="26">
        <v>1891092</v>
      </c>
      <c r="L47" s="26">
        <v>1891092</v>
      </c>
      <c r="M47" s="82"/>
      <c r="N47" s="6"/>
    </row>
    <row r="48" spans="1:13" ht="21.75" customHeight="1">
      <c r="A48" s="118"/>
      <c r="B48" s="100"/>
      <c r="C48" s="102"/>
      <c r="D48" s="105"/>
      <c r="E48" s="106"/>
      <c r="F48" s="16" t="s">
        <v>15</v>
      </c>
      <c r="G48" s="26">
        <f>H48+I48+J48+K48+L48</f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82"/>
    </row>
    <row r="49" spans="1:14" ht="21.75" customHeight="1">
      <c r="A49" s="116" t="s">
        <v>30</v>
      </c>
      <c r="B49" s="142" t="s">
        <v>33</v>
      </c>
      <c r="C49" s="101" t="s">
        <v>125</v>
      </c>
      <c r="D49" s="103" t="s">
        <v>123</v>
      </c>
      <c r="E49" s="101" t="s">
        <v>106</v>
      </c>
      <c r="F49" s="16" t="s">
        <v>12</v>
      </c>
      <c r="G49" s="26">
        <f aca="true" t="shared" si="13" ref="G49:L49">G50+G51+G52</f>
        <v>2352809414.69</v>
      </c>
      <c r="H49" s="26">
        <f t="shared" si="13"/>
        <v>459249705.72</v>
      </c>
      <c r="I49" s="26">
        <f t="shared" si="13"/>
        <v>465974009.97</v>
      </c>
      <c r="J49" s="26">
        <f t="shared" si="13"/>
        <v>465047181</v>
      </c>
      <c r="K49" s="26">
        <f t="shared" si="13"/>
        <v>475658598</v>
      </c>
      <c r="L49" s="26">
        <f t="shared" si="13"/>
        <v>486879920</v>
      </c>
      <c r="M49" s="82"/>
      <c r="N49" s="3"/>
    </row>
    <row r="50" spans="1:15" ht="21.75" customHeight="1">
      <c r="A50" s="117"/>
      <c r="B50" s="143"/>
      <c r="C50" s="102"/>
      <c r="D50" s="104"/>
      <c r="E50" s="102"/>
      <c r="F50" s="16" t="s">
        <v>13</v>
      </c>
      <c r="G50" s="26">
        <f>H50+I50+J50+K50+L50</f>
        <v>609708379.62</v>
      </c>
      <c r="H50" s="26">
        <v>111005611.15</v>
      </c>
      <c r="I50" s="26">
        <f>112774045.47+5964026</f>
        <v>118738071.47</v>
      </c>
      <c r="J50" s="26">
        <v>128679717</v>
      </c>
      <c r="K50" s="26">
        <v>125609321</v>
      </c>
      <c r="L50" s="26">
        <v>125675659</v>
      </c>
      <c r="M50" s="82"/>
      <c r="O50" s="8"/>
    </row>
    <row r="51" spans="1:14" ht="21.75" customHeight="1">
      <c r="A51" s="117"/>
      <c r="B51" s="143"/>
      <c r="C51" s="102"/>
      <c r="D51" s="104"/>
      <c r="E51" s="102"/>
      <c r="F51" s="16" t="s">
        <v>14</v>
      </c>
      <c r="G51" s="26">
        <f>H51+I51+J51+K51+L51</f>
        <v>1732519635.07</v>
      </c>
      <c r="H51" s="26">
        <f>349241007.57-293084-H39-H43-H47</f>
        <v>337662694.57</v>
      </c>
      <c r="I51" s="26">
        <v>347235938.5</v>
      </c>
      <c r="J51" s="26">
        <f>347896678-301194-J39-J43-J47-J67</f>
        <v>336367464</v>
      </c>
      <c r="K51" s="26">
        <f>361578491-301194-K39-K43-K47-K67</f>
        <v>350049277</v>
      </c>
      <c r="L51" s="26">
        <f>372733475-301194-L39-L43-L47-L67</f>
        <v>361204261</v>
      </c>
      <c r="M51" s="82"/>
      <c r="N51" s="3"/>
    </row>
    <row r="52" spans="1:15" ht="21.75" customHeight="1">
      <c r="A52" s="118"/>
      <c r="B52" s="144"/>
      <c r="C52" s="102"/>
      <c r="D52" s="105"/>
      <c r="E52" s="106"/>
      <c r="F52" s="16" t="s">
        <v>15</v>
      </c>
      <c r="G52" s="26">
        <f>H52+I52+J52+K52+L52</f>
        <v>10581400</v>
      </c>
      <c r="H52" s="26">
        <v>10581400</v>
      </c>
      <c r="I52" s="26">
        <v>0</v>
      </c>
      <c r="J52" s="26">
        <v>0</v>
      </c>
      <c r="K52" s="26">
        <v>0</v>
      </c>
      <c r="L52" s="26">
        <v>0</v>
      </c>
      <c r="M52" s="82"/>
      <c r="N52" s="7"/>
      <c r="O52" s="9"/>
    </row>
    <row r="53" spans="1:13" ht="21.75" customHeight="1">
      <c r="A53" s="116" t="s">
        <v>32</v>
      </c>
      <c r="B53" s="142" t="s">
        <v>21</v>
      </c>
      <c r="C53" s="101" t="s">
        <v>125</v>
      </c>
      <c r="D53" s="103" t="s">
        <v>123</v>
      </c>
      <c r="E53" s="101" t="s">
        <v>106</v>
      </c>
      <c r="F53" s="16" t="s">
        <v>12</v>
      </c>
      <c r="G53" s="26">
        <f aca="true" t="shared" si="14" ref="G53:L53">G54+G55+G56</f>
        <v>5341887.6</v>
      </c>
      <c r="H53" s="26">
        <f t="shared" si="14"/>
        <v>1006307</v>
      </c>
      <c r="I53" s="26">
        <f t="shared" si="14"/>
        <v>1357143.79</v>
      </c>
      <c r="J53" s="26">
        <f t="shared" si="14"/>
        <v>965822.81</v>
      </c>
      <c r="K53" s="26">
        <f t="shared" si="14"/>
        <v>1006307</v>
      </c>
      <c r="L53" s="26">
        <f t="shared" si="14"/>
        <v>1006307</v>
      </c>
      <c r="M53" s="82"/>
    </row>
    <row r="54" spans="1:13" ht="21.75" customHeight="1">
      <c r="A54" s="117"/>
      <c r="B54" s="143"/>
      <c r="C54" s="102"/>
      <c r="D54" s="104"/>
      <c r="E54" s="102"/>
      <c r="F54" s="16" t="s">
        <v>13</v>
      </c>
      <c r="G54" s="26">
        <f>H54+I54+J54+K54+L54</f>
        <v>5341887.6</v>
      </c>
      <c r="H54" s="26">
        <v>1006307</v>
      </c>
      <c r="I54" s="26">
        <f>1199420.42+157723.37</f>
        <v>1357143.79</v>
      </c>
      <c r="J54" s="26">
        <v>965822.81</v>
      </c>
      <c r="K54" s="26">
        <f>1006307</f>
        <v>1006307</v>
      </c>
      <c r="L54" s="26">
        <v>1006307</v>
      </c>
      <c r="M54" s="82"/>
    </row>
    <row r="55" spans="1:13" ht="21.75" customHeight="1">
      <c r="A55" s="117"/>
      <c r="B55" s="143"/>
      <c r="C55" s="102"/>
      <c r="D55" s="104"/>
      <c r="E55" s="102"/>
      <c r="F55" s="16" t="s">
        <v>14</v>
      </c>
      <c r="G55" s="26">
        <f>H55+I55+J55+K55+L55</f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82"/>
    </row>
    <row r="56" spans="1:13" ht="21.75" customHeight="1">
      <c r="A56" s="118"/>
      <c r="B56" s="144"/>
      <c r="C56" s="102"/>
      <c r="D56" s="105"/>
      <c r="E56" s="106"/>
      <c r="F56" s="16" t="s">
        <v>15</v>
      </c>
      <c r="G56" s="26">
        <f>H56+I56+J56+K56+L56</f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82"/>
    </row>
    <row r="57" spans="1:13" ht="21.75" customHeight="1">
      <c r="A57" s="116" t="s">
        <v>34</v>
      </c>
      <c r="B57" s="142" t="s">
        <v>23</v>
      </c>
      <c r="C57" s="101" t="s">
        <v>125</v>
      </c>
      <c r="D57" s="103" t="s">
        <v>123</v>
      </c>
      <c r="E57" s="101" t="s">
        <v>106</v>
      </c>
      <c r="F57" s="16" t="s">
        <v>12</v>
      </c>
      <c r="G57" s="26">
        <f aca="true" t="shared" si="15" ref="G57:L57">G58+G59+G60</f>
        <v>163594599.87</v>
      </c>
      <c r="H57" s="26">
        <f t="shared" si="15"/>
        <v>31798849</v>
      </c>
      <c r="I57" s="26">
        <f t="shared" si="15"/>
        <v>36091735.87</v>
      </c>
      <c r="J57" s="26">
        <f t="shared" si="15"/>
        <v>28221557</v>
      </c>
      <c r="K57" s="26">
        <f t="shared" si="15"/>
        <v>36209517</v>
      </c>
      <c r="L57" s="26">
        <f t="shared" si="15"/>
        <v>31272941</v>
      </c>
      <c r="M57" s="82"/>
    </row>
    <row r="58" spans="1:13" ht="21.75" customHeight="1">
      <c r="A58" s="117"/>
      <c r="B58" s="143"/>
      <c r="C58" s="102"/>
      <c r="D58" s="104"/>
      <c r="E58" s="102"/>
      <c r="F58" s="16" t="s">
        <v>13</v>
      </c>
      <c r="G58" s="26">
        <f>H58+I58+J58+K58+L58</f>
        <v>327403.56</v>
      </c>
      <c r="H58" s="26">
        <v>100000</v>
      </c>
      <c r="I58" s="26">
        <f>101833.11+23737.45</f>
        <v>125570.56</v>
      </c>
      <c r="J58" s="26">
        <v>101833</v>
      </c>
      <c r="K58" s="26">
        <v>0</v>
      </c>
      <c r="L58" s="26">
        <v>0</v>
      </c>
      <c r="M58" s="82"/>
    </row>
    <row r="59" spans="1:13" ht="21.75" customHeight="1">
      <c r="A59" s="117"/>
      <c r="B59" s="143"/>
      <c r="C59" s="102"/>
      <c r="D59" s="104"/>
      <c r="E59" s="102"/>
      <c r="F59" s="16" t="s">
        <v>14</v>
      </c>
      <c r="G59" s="26">
        <f>H59+I59+J59+K59+L59</f>
        <v>163267196.31</v>
      </c>
      <c r="H59" s="26">
        <v>31698849</v>
      </c>
      <c r="I59" s="26">
        <f>35963535.87+2629.44</f>
        <v>35966165.309999995</v>
      </c>
      <c r="J59" s="26">
        <f>28119724</f>
        <v>28119724</v>
      </c>
      <c r="K59" s="26">
        <v>36209517</v>
      </c>
      <c r="L59" s="26">
        <v>31272941</v>
      </c>
      <c r="M59" s="82"/>
    </row>
    <row r="60" spans="1:13" ht="21.75" customHeight="1">
      <c r="A60" s="118"/>
      <c r="B60" s="144"/>
      <c r="C60" s="102"/>
      <c r="D60" s="105"/>
      <c r="E60" s="106"/>
      <c r="F60" s="16" t="s">
        <v>15</v>
      </c>
      <c r="G60" s="26">
        <f>H60+I60+J60+K60+L60</f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82"/>
    </row>
    <row r="61" spans="1:13" ht="21.75" customHeight="1">
      <c r="A61" s="116" t="s">
        <v>35</v>
      </c>
      <c r="B61" s="98" t="s">
        <v>37</v>
      </c>
      <c r="C61" s="101" t="s">
        <v>125</v>
      </c>
      <c r="D61" s="119" t="s">
        <v>124</v>
      </c>
      <c r="E61" s="101" t="s">
        <v>106</v>
      </c>
      <c r="F61" s="16" t="s">
        <v>12</v>
      </c>
      <c r="G61" s="26">
        <f aca="true" t="shared" si="16" ref="G61:L61">G62+G63+G64</f>
        <v>5027148.09</v>
      </c>
      <c r="H61" s="26">
        <f t="shared" si="16"/>
        <v>1481975</v>
      </c>
      <c r="I61" s="26">
        <f t="shared" si="16"/>
        <v>879703.09</v>
      </c>
      <c r="J61" s="26">
        <f t="shared" si="16"/>
        <v>888490</v>
      </c>
      <c r="K61" s="26">
        <f t="shared" si="16"/>
        <v>888490</v>
      </c>
      <c r="L61" s="26">
        <f t="shared" si="16"/>
        <v>888490</v>
      </c>
      <c r="M61" s="82"/>
    </row>
    <row r="62" spans="1:13" ht="21.75" customHeight="1">
      <c r="A62" s="117"/>
      <c r="B62" s="99"/>
      <c r="C62" s="102"/>
      <c r="D62" s="120"/>
      <c r="E62" s="102"/>
      <c r="F62" s="16" t="s">
        <v>13</v>
      </c>
      <c r="G62" s="26">
        <f>H62+I62+J62+K62+L62</f>
        <v>5027148.09</v>
      </c>
      <c r="H62" s="26">
        <v>1481975</v>
      </c>
      <c r="I62" s="26">
        <f>1481975-602271.91</f>
        <v>879703.09</v>
      </c>
      <c r="J62" s="26">
        <v>888490</v>
      </c>
      <c r="K62" s="26">
        <v>888490</v>
      </c>
      <c r="L62" s="26">
        <v>888490</v>
      </c>
      <c r="M62" s="82"/>
    </row>
    <row r="63" spans="1:13" ht="21.75" customHeight="1">
      <c r="A63" s="117"/>
      <c r="B63" s="99"/>
      <c r="C63" s="102"/>
      <c r="D63" s="120"/>
      <c r="E63" s="102"/>
      <c r="F63" s="16" t="s">
        <v>14</v>
      </c>
      <c r="G63" s="26">
        <f>H63+I63+J63+K63+L63</f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82"/>
    </row>
    <row r="64" spans="1:13" ht="21.75" customHeight="1">
      <c r="A64" s="118"/>
      <c r="B64" s="100"/>
      <c r="C64" s="102"/>
      <c r="D64" s="121"/>
      <c r="E64" s="106"/>
      <c r="F64" s="16" t="s">
        <v>15</v>
      </c>
      <c r="G64" s="26">
        <f>H64+I64+J64+K64+L64</f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82"/>
    </row>
    <row r="65" spans="1:13" ht="21.75" customHeight="1">
      <c r="A65" s="116" t="s">
        <v>36</v>
      </c>
      <c r="B65" s="98" t="s">
        <v>39</v>
      </c>
      <c r="C65" s="101" t="s">
        <v>125</v>
      </c>
      <c r="D65" s="103" t="s">
        <v>123</v>
      </c>
      <c r="E65" s="101" t="s">
        <v>106</v>
      </c>
      <c r="F65" s="16" t="s">
        <v>12</v>
      </c>
      <c r="G65" s="26">
        <f aca="true" t="shared" si="17" ref="G65:L65">G66+G67+G68</f>
        <v>0</v>
      </c>
      <c r="H65" s="26">
        <f t="shared" si="17"/>
        <v>0</v>
      </c>
      <c r="I65" s="26">
        <f t="shared" si="17"/>
        <v>0</v>
      </c>
      <c r="J65" s="26">
        <f t="shared" si="17"/>
        <v>0</v>
      </c>
      <c r="K65" s="26">
        <f t="shared" si="17"/>
        <v>0</v>
      </c>
      <c r="L65" s="26">
        <f t="shared" si="17"/>
        <v>0</v>
      </c>
      <c r="M65" s="82"/>
    </row>
    <row r="66" spans="1:13" ht="21.75" customHeight="1">
      <c r="A66" s="117"/>
      <c r="B66" s="99"/>
      <c r="C66" s="102"/>
      <c r="D66" s="104"/>
      <c r="E66" s="102"/>
      <c r="F66" s="16" t="s">
        <v>13</v>
      </c>
      <c r="G66" s="26">
        <f>H66+I66+J66+K66+L66</f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82"/>
    </row>
    <row r="67" spans="1:13" ht="21.75" customHeight="1">
      <c r="A67" s="117"/>
      <c r="B67" s="99"/>
      <c r="C67" s="102"/>
      <c r="D67" s="104"/>
      <c r="E67" s="102"/>
      <c r="F67" s="16" t="s">
        <v>14</v>
      </c>
      <c r="G67" s="26">
        <f>H67+I67+J67+K67+L67</f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82"/>
    </row>
    <row r="68" spans="1:13" ht="21.75" customHeight="1">
      <c r="A68" s="118"/>
      <c r="B68" s="100"/>
      <c r="C68" s="102"/>
      <c r="D68" s="105"/>
      <c r="E68" s="106"/>
      <c r="F68" s="16" t="s">
        <v>15</v>
      </c>
      <c r="G68" s="26">
        <f>H68+I68+J68+K68+L68</f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82"/>
    </row>
    <row r="69" spans="1:13" ht="21.75" customHeight="1">
      <c r="A69" s="116" t="s">
        <v>38</v>
      </c>
      <c r="B69" s="142" t="s">
        <v>185</v>
      </c>
      <c r="C69" s="101" t="s">
        <v>125</v>
      </c>
      <c r="D69" s="103" t="s">
        <v>123</v>
      </c>
      <c r="E69" s="101" t="s">
        <v>106</v>
      </c>
      <c r="F69" s="16" t="s">
        <v>12</v>
      </c>
      <c r="G69" s="26">
        <f aca="true" t="shared" si="18" ref="G69:L69">G70+G71+G72</f>
        <v>122500520</v>
      </c>
      <c r="H69" s="26">
        <f t="shared" si="18"/>
        <v>0</v>
      </c>
      <c r="I69" s="26">
        <f t="shared" si="18"/>
        <v>30779350</v>
      </c>
      <c r="J69" s="26">
        <f t="shared" si="18"/>
        <v>30279350</v>
      </c>
      <c r="K69" s="26">
        <f t="shared" si="18"/>
        <v>30279350</v>
      </c>
      <c r="L69" s="26">
        <f t="shared" si="18"/>
        <v>31162470</v>
      </c>
      <c r="M69" s="82"/>
    </row>
    <row r="70" spans="1:13" ht="21.75" customHeight="1">
      <c r="A70" s="117"/>
      <c r="B70" s="143"/>
      <c r="C70" s="102"/>
      <c r="D70" s="104"/>
      <c r="E70" s="102"/>
      <c r="F70" s="16" t="s">
        <v>13</v>
      </c>
      <c r="G70" s="26">
        <f>H70+I70+J70+K70+L70</f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82"/>
    </row>
    <row r="71" spans="1:13" ht="21.75" customHeight="1">
      <c r="A71" s="117"/>
      <c r="B71" s="143"/>
      <c r="C71" s="102"/>
      <c r="D71" s="104"/>
      <c r="E71" s="102"/>
      <c r="F71" s="16" t="s">
        <v>14</v>
      </c>
      <c r="G71" s="26">
        <f>H71+I71+J71+K71+L71</f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82"/>
    </row>
    <row r="72" spans="1:13" ht="21.75" customHeight="1">
      <c r="A72" s="118"/>
      <c r="B72" s="144"/>
      <c r="C72" s="102"/>
      <c r="D72" s="105"/>
      <c r="E72" s="106"/>
      <c r="F72" s="16" t="s">
        <v>15</v>
      </c>
      <c r="G72" s="26">
        <f>H72+I72+J72+K72+L72</f>
        <v>122500520</v>
      </c>
      <c r="H72" s="26">
        <v>0</v>
      </c>
      <c r="I72" s="26">
        <v>30779350</v>
      </c>
      <c r="J72" s="26">
        <v>30279350</v>
      </c>
      <c r="K72" s="26">
        <v>30279350</v>
      </c>
      <c r="L72" s="26">
        <v>31162470</v>
      </c>
      <c r="M72" s="82"/>
    </row>
    <row r="73" spans="1:13" ht="21.75" customHeight="1">
      <c r="A73" s="95" t="s">
        <v>183</v>
      </c>
      <c r="B73" s="98" t="s">
        <v>182</v>
      </c>
      <c r="C73" s="101" t="s">
        <v>125</v>
      </c>
      <c r="D73" s="103" t="s">
        <v>135</v>
      </c>
      <c r="E73" s="101" t="s">
        <v>106</v>
      </c>
      <c r="F73" s="16" t="s">
        <v>12</v>
      </c>
      <c r="G73" s="26">
        <f aca="true" t="shared" si="19" ref="G73:L73">G74+G75+G76</f>
        <v>1670133</v>
      </c>
      <c r="H73" s="26">
        <f t="shared" si="19"/>
        <v>0</v>
      </c>
      <c r="I73" s="26">
        <f t="shared" si="19"/>
        <v>0</v>
      </c>
      <c r="J73" s="26">
        <f t="shared" si="19"/>
        <v>556711</v>
      </c>
      <c r="K73" s="26">
        <f t="shared" si="19"/>
        <v>556711</v>
      </c>
      <c r="L73" s="26">
        <f t="shared" si="19"/>
        <v>556711</v>
      </c>
      <c r="M73" s="82"/>
    </row>
    <row r="74" spans="1:13" ht="21.75" customHeight="1">
      <c r="A74" s="96"/>
      <c r="B74" s="99"/>
      <c r="C74" s="102"/>
      <c r="D74" s="104"/>
      <c r="E74" s="102"/>
      <c r="F74" s="16" t="s">
        <v>13</v>
      </c>
      <c r="G74" s="26">
        <f>H74+I74+J74+K74+L74</f>
        <v>1670133</v>
      </c>
      <c r="H74" s="26"/>
      <c r="I74" s="26"/>
      <c r="J74" s="26">
        <v>556711</v>
      </c>
      <c r="K74" s="26">
        <v>556711</v>
      </c>
      <c r="L74" s="26">
        <v>556711</v>
      </c>
      <c r="M74" s="82"/>
    </row>
    <row r="75" spans="1:13" ht="21.75" customHeight="1">
      <c r="A75" s="96"/>
      <c r="B75" s="99"/>
      <c r="C75" s="102"/>
      <c r="D75" s="104"/>
      <c r="E75" s="102"/>
      <c r="F75" s="16" t="s">
        <v>14</v>
      </c>
      <c r="G75" s="26">
        <f>H75+I75+J75+K75+L75</f>
        <v>0</v>
      </c>
      <c r="H75" s="26"/>
      <c r="I75" s="26"/>
      <c r="J75" s="26">
        <v>0</v>
      </c>
      <c r="K75" s="26">
        <v>0</v>
      </c>
      <c r="L75" s="26">
        <v>0</v>
      </c>
      <c r="M75" s="82"/>
    </row>
    <row r="76" spans="1:13" ht="21.75" customHeight="1">
      <c r="A76" s="97"/>
      <c r="B76" s="100"/>
      <c r="C76" s="102"/>
      <c r="D76" s="105"/>
      <c r="E76" s="106"/>
      <c r="F76" s="16" t="s">
        <v>15</v>
      </c>
      <c r="G76" s="26">
        <f>H76+I76+J76+K76+L76</f>
        <v>0</v>
      </c>
      <c r="H76" s="26"/>
      <c r="I76" s="26"/>
      <c r="J76" s="26">
        <v>0</v>
      </c>
      <c r="K76" s="26">
        <v>0</v>
      </c>
      <c r="L76" s="26">
        <v>0</v>
      </c>
      <c r="M76" s="82"/>
    </row>
    <row r="77" spans="1:13" ht="21.75" customHeight="1">
      <c r="A77" s="57"/>
      <c r="B77" s="98" t="s">
        <v>83</v>
      </c>
      <c r="C77" s="101" t="s">
        <v>125</v>
      </c>
      <c r="D77" s="119" t="s">
        <v>124</v>
      </c>
      <c r="E77" s="101" t="s">
        <v>106</v>
      </c>
      <c r="F77" s="16" t="s">
        <v>12</v>
      </c>
      <c r="G77" s="26">
        <f aca="true" t="shared" si="20" ref="G77:L77">G78+G79+G80</f>
        <v>300000</v>
      </c>
      <c r="H77" s="26">
        <f>H78+H79+H80</f>
        <v>60000</v>
      </c>
      <c r="I77" s="26">
        <f>I78+I79+I80</f>
        <v>60000</v>
      </c>
      <c r="J77" s="26">
        <f>J78+J79+J80</f>
        <v>60000</v>
      </c>
      <c r="K77" s="26">
        <f t="shared" si="20"/>
        <v>60000</v>
      </c>
      <c r="L77" s="26">
        <f t="shared" si="20"/>
        <v>60000</v>
      </c>
      <c r="M77" s="82"/>
    </row>
    <row r="78" spans="1:13" ht="21.75" customHeight="1">
      <c r="A78" s="57"/>
      <c r="B78" s="99"/>
      <c r="C78" s="102"/>
      <c r="D78" s="120"/>
      <c r="E78" s="102"/>
      <c r="F78" s="16" t="s">
        <v>13</v>
      </c>
      <c r="G78" s="26">
        <f>H78+I78+J78+K78+L78</f>
        <v>300000</v>
      </c>
      <c r="H78" s="26">
        <v>60000</v>
      </c>
      <c r="I78" s="26">
        <v>60000</v>
      </c>
      <c r="J78" s="26">
        <v>60000</v>
      </c>
      <c r="K78" s="26">
        <v>60000</v>
      </c>
      <c r="L78" s="26">
        <v>60000</v>
      </c>
      <c r="M78" s="82"/>
    </row>
    <row r="79" spans="1:13" ht="21.75" customHeight="1">
      <c r="A79" s="59" t="s">
        <v>186</v>
      </c>
      <c r="B79" s="99"/>
      <c r="C79" s="102"/>
      <c r="D79" s="120"/>
      <c r="E79" s="102"/>
      <c r="F79" s="16" t="s">
        <v>14</v>
      </c>
      <c r="G79" s="26">
        <f>H79+I79+J79+K79+L79</f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82"/>
    </row>
    <row r="80" spans="1:13" ht="21.75" customHeight="1">
      <c r="A80" s="57"/>
      <c r="B80" s="100"/>
      <c r="C80" s="102"/>
      <c r="D80" s="121"/>
      <c r="E80" s="106"/>
      <c r="F80" s="16" t="s">
        <v>15</v>
      </c>
      <c r="G80" s="26">
        <f>H80+I80+J80+K80+L80</f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122"/>
    </row>
    <row r="81" spans="1:13" ht="21.75" customHeight="1">
      <c r="A81" s="145" t="s">
        <v>40</v>
      </c>
      <c r="B81" s="148" t="s">
        <v>41</v>
      </c>
      <c r="C81" s="151" t="s">
        <v>125</v>
      </c>
      <c r="D81" s="154" t="s">
        <v>135</v>
      </c>
      <c r="E81" s="151" t="s">
        <v>106</v>
      </c>
      <c r="F81" s="42" t="s">
        <v>12</v>
      </c>
      <c r="G81" s="43">
        <f aca="true" t="shared" si="21" ref="G81:L81">G82+G83+G84</f>
        <v>4765804</v>
      </c>
      <c r="H81" s="43">
        <f>H82+H83+H84</f>
        <v>943488</v>
      </c>
      <c r="I81" s="43">
        <f>I82+I83+I84</f>
        <v>953488</v>
      </c>
      <c r="J81" s="43">
        <f>J82+J83+J84</f>
        <v>956276</v>
      </c>
      <c r="K81" s="43">
        <f t="shared" si="21"/>
        <v>956276</v>
      </c>
      <c r="L81" s="43">
        <f t="shared" si="21"/>
        <v>956276</v>
      </c>
      <c r="M81" s="81" t="s">
        <v>150</v>
      </c>
    </row>
    <row r="82" spans="1:13" ht="21.75" customHeight="1">
      <c r="A82" s="146"/>
      <c r="B82" s="149"/>
      <c r="C82" s="152"/>
      <c r="D82" s="155"/>
      <c r="E82" s="152"/>
      <c r="F82" s="42" t="s">
        <v>13</v>
      </c>
      <c r="G82" s="43">
        <f>H82+I82+J82+K82+L82</f>
        <v>490000</v>
      </c>
      <c r="H82" s="43">
        <f aca="true" t="shared" si="22" ref="H82:L84">H86+H90</f>
        <v>90000</v>
      </c>
      <c r="I82" s="43">
        <f t="shared" si="22"/>
        <v>100000</v>
      </c>
      <c r="J82" s="43">
        <f t="shared" si="22"/>
        <v>100000</v>
      </c>
      <c r="K82" s="43">
        <f t="shared" si="22"/>
        <v>100000</v>
      </c>
      <c r="L82" s="43">
        <f t="shared" si="22"/>
        <v>100000</v>
      </c>
      <c r="M82" s="82"/>
    </row>
    <row r="83" spans="1:13" ht="21.75" customHeight="1">
      <c r="A83" s="146"/>
      <c r="B83" s="149"/>
      <c r="C83" s="152"/>
      <c r="D83" s="155"/>
      <c r="E83" s="152"/>
      <c r="F83" s="42" t="s">
        <v>14</v>
      </c>
      <c r="G83" s="43">
        <f>H83+I83+J83+K83+L83</f>
        <v>4275804</v>
      </c>
      <c r="H83" s="43">
        <f t="shared" si="22"/>
        <v>853488</v>
      </c>
      <c r="I83" s="43">
        <f t="shared" si="22"/>
        <v>853488</v>
      </c>
      <c r="J83" s="43">
        <f t="shared" si="22"/>
        <v>856276</v>
      </c>
      <c r="K83" s="43">
        <f t="shared" si="22"/>
        <v>856276</v>
      </c>
      <c r="L83" s="43">
        <f t="shared" si="22"/>
        <v>856276</v>
      </c>
      <c r="M83" s="82"/>
    </row>
    <row r="84" spans="1:13" ht="21.75" customHeight="1">
      <c r="A84" s="147"/>
      <c r="B84" s="150"/>
      <c r="C84" s="153"/>
      <c r="D84" s="156"/>
      <c r="E84" s="153"/>
      <c r="F84" s="42" t="s">
        <v>15</v>
      </c>
      <c r="G84" s="43">
        <f>H84+I84+J84+K84+L84</f>
        <v>0</v>
      </c>
      <c r="H84" s="43">
        <f t="shared" si="22"/>
        <v>0</v>
      </c>
      <c r="I84" s="43">
        <f t="shared" si="22"/>
        <v>0</v>
      </c>
      <c r="J84" s="43">
        <f t="shared" si="22"/>
        <v>0</v>
      </c>
      <c r="K84" s="43">
        <f t="shared" si="22"/>
        <v>0</v>
      </c>
      <c r="L84" s="43">
        <f t="shared" si="22"/>
        <v>0</v>
      </c>
      <c r="M84" s="82"/>
    </row>
    <row r="85" spans="1:13" ht="21.75" customHeight="1">
      <c r="A85" s="10"/>
      <c r="B85" s="98" t="s">
        <v>86</v>
      </c>
      <c r="C85" s="101" t="s">
        <v>125</v>
      </c>
      <c r="D85" s="103" t="s">
        <v>135</v>
      </c>
      <c r="E85" s="101" t="s">
        <v>106</v>
      </c>
      <c r="F85" s="16" t="s">
        <v>12</v>
      </c>
      <c r="G85" s="26">
        <f aca="true" t="shared" si="23" ref="G85:L85">G86+G87+G88</f>
        <v>490000</v>
      </c>
      <c r="H85" s="26">
        <f t="shared" si="23"/>
        <v>90000</v>
      </c>
      <c r="I85" s="26">
        <f t="shared" si="23"/>
        <v>100000</v>
      </c>
      <c r="J85" s="26">
        <f t="shared" si="23"/>
        <v>100000</v>
      </c>
      <c r="K85" s="26">
        <f t="shared" si="23"/>
        <v>100000</v>
      </c>
      <c r="L85" s="26">
        <f t="shared" si="23"/>
        <v>100000</v>
      </c>
      <c r="M85" s="82"/>
    </row>
    <row r="86" spans="1:13" ht="21.75" customHeight="1">
      <c r="A86" s="10"/>
      <c r="B86" s="99"/>
      <c r="C86" s="102"/>
      <c r="D86" s="104"/>
      <c r="E86" s="102"/>
      <c r="F86" s="16" t="s">
        <v>13</v>
      </c>
      <c r="G86" s="26">
        <f>H86+I86+J86+K86+L86</f>
        <v>490000</v>
      </c>
      <c r="H86" s="26">
        <v>90000</v>
      </c>
      <c r="I86" s="26">
        <v>100000</v>
      </c>
      <c r="J86" s="26">
        <v>100000</v>
      </c>
      <c r="K86" s="26">
        <v>100000</v>
      </c>
      <c r="L86" s="26">
        <v>100000</v>
      </c>
      <c r="M86" s="82"/>
    </row>
    <row r="87" spans="1:13" ht="21.75" customHeight="1">
      <c r="A87" s="59" t="s">
        <v>93</v>
      </c>
      <c r="B87" s="99"/>
      <c r="C87" s="102"/>
      <c r="D87" s="104"/>
      <c r="E87" s="102"/>
      <c r="F87" s="16" t="s">
        <v>14</v>
      </c>
      <c r="G87" s="26">
        <f>H87+I87+J87+K87+L87</f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82"/>
    </row>
    <row r="88" spans="1:13" ht="21.75" customHeight="1">
      <c r="A88" s="10"/>
      <c r="B88" s="100"/>
      <c r="C88" s="102"/>
      <c r="D88" s="105"/>
      <c r="E88" s="106"/>
      <c r="F88" s="16" t="s">
        <v>15</v>
      </c>
      <c r="G88" s="26">
        <f>H88+I88+J88+K88+L88</f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82"/>
    </row>
    <row r="89" spans="1:13" ht="21.75" customHeight="1">
      <c r="A89" s="116" t="s">
        <v>92</v>
      </c>
      <c r="B89" s="98" t="s">
        <v>42</v>
      </c>
      <c r="C89" s="101" t="s">
        <v>125</v>
      </c>
      <c r="D89" s="103" t="s">
        <v>123</v>
      </c>
      <c r="E89" s="101" t="s">
        <v>106</v>
      </c>
      <c r="F89" s="16" t="s">
        <v>12</v>
      </c>
      <c r="G89" s="26">
        <f aca="true" t="shared" si="24" ref="G89:L89">G90+G91+G92</f>
        <v>4275804</v>
      </c>
      <c r="H89" s="26">
        <f t="shared" si="24"/>
        <v>853488</v>
      </c>
      <c r="I89" s="26">
        <f t="shared" si="24"/>
        <v>853488</v>
      </c>
      <c r="J89" s="26">
        <f t="shared" si="24"/>
        <v>856276</v>
      </c>
      <c r="K89" s="26">
        <f t="shared" si="24"/>
        <v>856276</v>
      </c>
      <c r="L89" s="26">
        <f t="shared" si="24"/>
        <v>856276</v>
      </c>
      <c r="M89" s="82"/>
    </row>
    <row r="90" spans="1:13" ht="21.75" customHeight="1">
      <c r="A90" s="117"/>
      <c r="B90" s="99"/>
      <c r="C90" s="102"/>
      <c r="D90" s="104"/>
      <c r="E90" s="102"/>
      <c r="F90" s="16" t="s">
        <v>13</v>
      </c>
      <c r="G90" s="26">
        <f>H90+I90+J90+K90+L90</f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82"/>
    </row>
    <row r="91" spans="1:14" ht="21.75" customHeight="1">
      <c r="A91" s="117"/>
      <c r="B91" s="99"/>
      <c r="C91" s="102"/>
      <c r="D91" s="104"/>
      <c r="E91" s="102"/>
      <c r="F91" s="16" t="s">
        <v>14</v>
      </c>
      <c r="G91" s="26">
        <f>H91+I91+J91+K91+L91</f>
        <v>4275804</v>
      </c>
      <c r="H91" s="26">
        <f>127900+293084+432504</f>
        <v>853488</v>
      </c>
      <c r="I91" s="26">
        <f>127900+293084+432504</f>
        <v>853488</v>
      </c>
      <c r="J91" s="26">
        <f>127214+301194+427868</f>
        <v>856276</v>
      </c>
      <c r="K91" s="26">
        <f>127214+301194+427868</f>
        <v>856276</v>
      </c>
      <c r="L91" s="26">
        <f>127214+301194+427868</f>
        <v>856276</v>
      </c>
      <c r="M91" s="82"/>
      <c r="N91" s="11"/>
    </row>
    <row r="92" spans="1:13" ht="21.75" customHeight="1">
      <c r="A92" s="118"/>
      <c r="B92" s="100"/>
      <c r="C92" s="102"/>
      <c r="D92" s="105"/>
      <c r="E92" s="106"/>
      <c r="F92" s="16" t="s">
        <v>15</v>
      </c>
      <c r="G92" s="26">
        <f>H92+I92+J92+K92+L92</f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122"/>
    </row>
    <row r="93" spans="1:13" ht="21.75" customHeight="1">
      <c r="A93" s="145" t="s">
        <v>43</v>
      </c>
      <c r="B93" s="148" t="s">
        <v>44</v>
      </c>
      <c r="C93" s="151" t="s">
        <v>125</v>
      </c>
      <c r="D93" s="154" t="s">
        <v>136</v>
      </c>
      <c r="E93" s="151" t="s">
        <v>106</v>
      </c>
      <c r="F93" s="42" t="s">
        <v>12</v>
      </c>
      <c r="G93" s="43">
        <f aca="true" t="shared" si="25" ref="G93:L93">G94+G95+G96</f>
        <v>481211892.12</v>
      </c>
      <c r="H93" s="43">
        <f>H94+H95+H96</f>
        <v>84695056.78</v>
      </c>
      <c r="I93" s="43">
        <f>I94+I95+I96</f>
        <v>96658633.60000001</v>
      </c>
      <c r="J93" s="43">
        <f>J94+J95+J96</f>
        <v>99503742.93</v>
      </c>
      <c r="K93" s="43">
        <f t="shared" si="25"/>
        <v>100949426.28</v>
      </c>
      <c r="L93" s="43">
        <f t="shared" si="25"/>
        <v>99405032.53</v>
      </c>
      <c r="M93" s="157" t="s">
        <v>162</v>
      </c>
    </row>
    <row r="94" spans="1:13" ht="21.75" customHeight="1">
      <c r="A94" s="146"/>
      <c r="B94" s="149"/>
      <c r="C94" s="152"/>
      <c r="D94" s="155"/>
      <c r="E94" s="152"/>
      <c r="F94" s="42" t="s">
        <v>13</v>
      </c>
      <c r="G94" s="43">
        <f>H94+I94+J94+K94+L94</f>
        <v>95123226.83000001</v>
      </c>
      <c r="H94" s="43">
        <f aca="true" t="shared" si="26" ref="H94:L96">H98+H102+H114+H106+H110</f>
        <v>19269008.78</v>
      </c>
      <c r="I94" s="43">
        <f t="shared" si="26"/>
        <v>19289478.31</v>
      </c>
      <c r="J94" s="43">
        <f>J98+J102+J114+J106+J110</f>
        <v>21498386.93</v>
      </c>
      <c r="K94" s="43">
        <f t="shared" si="26"/>
        <v>19680921.28</v>
      </c>
      <c r="L94" s="43">
        <f t="shared" si="26"/>
        <v>15385431.53</v>
      </c>
      <c r="M94" s="158"/>
    </row>
    <row r="95" spans="1:13" ht="21.75" customHeight="1">
      <c r="A95" s="146"/>
      <c r="B95" s="149"/>
      <c r="C95" s="152"/>
      <c r="D95" s="155"/>
      <c r="E95" s="152"/>
      <c r="F95" s="42" t="s">
        <v>14</v>
      </c>
      <c r="G95" s="43">
        <f>H95+I95+J95+K95+L95</f>
        <v>386088665.29</v>
      </c>
      <c r="H95" s="43">
        <f t="shared" si="26"/>
        <v>65426048</v>
      </c>
      <c r="I95" s="43">
        <f t="shared" si="26"/>
        <v>77369155.29</v>
      </c>
      <c r="J95" s="43">
        <f>J99+J103+J115+J107+J111</f>
        <v>78005356</v>
      </c>
      <c r="K95" s="43">
        <f t="shared" si="26"/>
        <v>81268505</v>
      </c>
      <c r="L95" s="43">
        <f t="shared" si="26"/>
        <v>84019601</v>
      </c>
      <c r="M95" s="158"/>
    </row>
    <row r="96" spans="1:13" ht="21.75" customHeight="1">
      <c r="A96" s="147"/>
      <c r="B96" s="150"/>
      <c r="C96" s="153"/>
      <c r="D96" s="156"/>
      <c r="E96" s="153"/>
      <c r="F96" s="42" t="s">
        <v>15</v>
      </c>
      <c r="G96" s="43">
        <f>H96+I96+J96+K96+L96</f>
        <v>0</v>
      </c>
      <c r="H96" s="43">
        <f t="shared" si="26"/>
        <v>0</v>
      </c>
      <c r="I96" s="43">
        <f t="shared" si="26"/>
        <v>0</v>
      </c>
      <c r="J96" s="43">
        <f t="shared" si="26"/>
        <v>0</v>
      </c>
      <c r="K96" s="43">
        <f t="shared" si="26"/>
        <v>0</v>
      </c>
      <c r="L96" s="43">
        <f t="shared" si="26"/>
        <v>0</v>
      </c>
      <c r="M96" s="158"/>
    </row>
    <row r="97" spans="1:13" ht="21.75" customHeight="1">
      <c r="A97" s="116" t="s">
        <v>45</v>
      </c>
      <c r="B97" s="98" t="s">
        <v>82</v>
      </c>
      <c r="C97" s="101" t="s">
        <v>125</v>
      </c>
      <c r="D97" s="103" t="s">
        <v>135</v>
      </c>
      <c r="E97" s="101" t="s">
        <v>106</v>
      </c>
      <c r="F97" s="16" t="s">
        <v>12</v>
      </c>
      <c r="G97" s="26">
        <f aca="true" t="shared" si="27" ref="G97:L97">G98+G99+G100</f>
        <v>396592947.74</v>
      </c>
      <c r="H97" s="26">
        <f t="shared" si="27"/>
        <v>75416376.46000001</v>
      </c>
      <c r="I97" s="26">
        <f t="shared" si="27"/>
        <v>77710542.35</v>
      </c>
      <c r="J97" s="26">
        <f t="shared" si="27"/>
        <v>81078227.93</v>
      </c>
      <c r="K97" s="26">
        <f t="shared" si="27"/>
        <v>81989339</v>
      </c>
      <c r="L97" s="26">
        <f t="shared" si="27"/>
        <v>80398462</v>
      </c>
      <c r="M97" s="158"/>
    </row>
    <row r="98" spans="1:15" ht="21.75" customHeight="1">
      <c r="A98" s="117"/>
      <c r="B98" s="99"/>
      <c r="C98" s="102"/>
      <c r="D98" s="104"/>
      <c r="E98" s="102"/>
      <c r="F98" s="16" t="s">
        <v>13</v>
      </c>
      <c r="G98" s="26">
        <f>H98+I98+J98+K98+L98</f>
        <v>76757828.51</v>
      </c>
      <c r="H98" s="26">
        <v>17880557.46</v>
      </c>
      <c r="I98" s="26">
        <f>15484283.05-117000</f>
        <v>15367283.05</v>
      </c>
      <c r="J98" s="26">
        <v>17127247</v>
      </c>
      <c r="K98" s="26">
        <v>15367283</v>
      </c>
      <c r="L98" s="26">
        <v>11015458</v>
      </c>
      <c r="M98" s="158"/>
      <c r="N98" s="12"/>
      <c r="O98" s="7"/>
    </row>
    <row r="99" spans="1:13" ht="21.75" customHeight="1">
      <c r="A99" s="117"/>
      <c r="B99" s="99"/>
      <c r="C99" s="102"/>
      <c r="D99" s="104"/>
      <c r="E99" s="102"/>
      <c r="F99" s="16" t="s">
        <v>14</v>
      </c>
      <c r="G99" s="26">
        <f>H99+I99+J99+K99+L99</f>
        <v>319835119.23</v>
      </c>
      <c r="H99" s="26">
        <f>57968323-432504</f>
        <v>57535819</v>
      </c>
      <c r="I99" s="26">
        <f>62343259.3</f>
        <v>62343259.3</v>
      </c>
      <c r="J99" s="26">
        <f>64378848.93-427868</f>
        <v>63950980.93</v>
      </c>
      <c r="K99" s="26">
        <f>67049924-427868</f>
        <v>66622056</v>
      </c>
      <c r="L99" s="26">
        <f>69810872-427868</f>
        <v>69383004</v>
      </c>
      <c r="M99" s="158"/>
    </row>
    <row r="100" spans="1:13" ht="21.75" customHeight="1">
      <c r="A100" s="118"/>
      <c r="B100" s="100"/>
      <c r="C100" s="102"/>
      <c r="D100" s="105"/>
      <c r="E100" s="106"/>
      <c r="F100" s="16" t="s">
        <v>15</v>
      </c>
      <c r="G100" s="26">
        <f>H100+I100+J100+K100+L100</f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158"/>
    </row>
    <row r="101" spans="1:13" ht="21.75" customHeight="1">
      <c r="A101" s="116" t="s">
        <v>46</v>
      </c>
      <c r="B101" s="142" t="s">
        <v>21</v>
      </c>
      <c r="C101" s="101" t="s">
        <v>125</v>
      </c>
      <c r="D101" s="119" t="s">
        <v>132</v>
      </c>
      <c r="E101" s="101" t="s">
        <v>106</v>
      </c>
      <c r="F101" s="16" t="s">
        <v>12</v>
      </c>
      <c r="G101" s="26">
        <f aca="true" t="shared" si="28" ref="G101:L101">G102+G103+G104</f>
        <v>374205.13</v>
      </c>
      <c r="H101" s="26">
        <f t="shared" si="28"/>
        <v>48537.82</v>
      </c>
      <c r="I101" s="26">
        <f t="shared" si="28"/>
        <v>103165.31</v>
      </c>
      <c r="J101" s="26">
        <f t="shared" si="28"/>
        <v>125426</v>
      </c>
      <c r="K101" s="26">
        <f t="shared" si="28"/>
        <v>48538</v>
      </c>
      <c r="L101" s="26">
        <f t="shared" si="28"/>
        <v>48538</v>
      </c>
      <c r="M101" s="158"/>
    </row>
    <row r="102" spans="1:13" ht="21.75" customHeight="1">
      <c r="A102" s="117"/>
      <c r="B102" s="143"/>
      <c r="C102" s="102"/>
      <c r="D102" s="120"/>
      <c r="E102" s="102"/>
      <c r="F102" s="16" t="s">
        <v>13</v>
      </c>
      <c r="G102" s="26">
        <f>H102+I102+J102+K102+L102</f>
        <v>374205.13</v>
      </c>
      <c r="H102" s="26">
        <f>48538-0.18</f>
        <v>48537.82</v>
      </c>
      <c r="I102" s="26">
        <f>94165.31+9000</f>
        <v>103165.31</v>
      </c>
      <c r="J102" s="26">
        <v>125426</v>
      </c>
      <c r="K102" s="26">
        <v>48538</v>
      </c>
      <c r="L102" s="26">
        <v>48538</v>
      </c>
      <c r="M102" s="158"/>
    </row>
    <row r="103" spans="1:13" ht="21.75" customHeight="1">
      <c r="A103" s="117"/>
      <c r="B103" s="143"/>
      <c r="C103" s="102"/>
      <c r="D103" s="120"/>
      <c r="E103" s="102"/>
      <c r="F103" s="16" t="s">
        <v>14</v>
      </c>
      <c r="G103" s="26">
        <f>H103+I103+J103+K103+L103</f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158"/>
    </row>
    <row r="104" spans="1:13" ht="21.75" customHeight="1">
      <c r="A104" s="118"/>
      <c r="B104" s="144"/>
      <c r="C104" s="102"/>
      <c r="D104" s="121"/>
      <c r="E104" s="106"/>
      <c r="F104" s="16" t="s">
        <v>15</v>
      </c>
      <c r="G104" s="26">
        <f>H104+I104+J104+K104+L104</f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158"/>
    </row>
    <row r="105" spans="1:13" ht="21.75" customHeight="1">
      <c r="A105" s="57"/>
      <c r="B105" s="142" t="s">
        <v>96</v>
      </c>
      <c r="C105" s="101" t="s">
        <v>125</v>
      </c>
      <c r="D105" s="119" t="s">
        <v>133</v>
      </c>
      <c r="E105" s="101" t="s">
        <v>106</v>
      </c>
      <c r="F105" s="16" t="s">
        <v>12</v>
      </c>
      <c r="G105" s="26">
        <f aca="true" t="shared" si="29" ref="G105:L105">G106+G107+G108</f>
        <v>4487641.65</v>
      </c>
      <c r="H105" s="26">
        <f t="shared" si="29"/>
        <v>393480</v>
      </c>
      <c r="I105" s="26">
        <f t="shared" si="29"/>
        <v>1094161.65</v>
      </c>
      <c r="J105" s="26">
        <f t="shared" si="29"/>
        <v>1000000</v>
      </c>
      <c r="K105" s="26">
        <f t="shared" si="29"/>
        <v>1000000</v>
      </c>
      <c r="L105" s="26">
        <f t="shared" si="29"/>
        <v>1000000</v>
      </c>
      <c r="M105" s="158"/>
    </row>
    <row r="106" spans="1:13" ht="21.75" customHeight="1">
      <c r="A106" s="57"/>
      <c r="B106" s="143"/>
      <c r="C106" s="102"/>
      <c r="D106" s="120"/>
      <c r="E106" s="102"/>
      <c r="F106" s="16" t="s">
        <v>13</v>
      </c>
      <c r="G106" s="26">
        <f>H106+I106+J106+K106+L106</f>
        <v>4487641.65</v>
      </c>
      <c r="H106" s="26">
        <v>393480</v>
      </c>
      <c r="I106" s="26">
        <f>20000+1074161.65</f>
        <v>1094161.65</v>
      </c>
      <c r="J106" s="26">
        <v>1000000</v>
      </c>
      <c r="K106" s="26">
        <v>1000000</v>
      </c>
      <c r="L106" s="26">
        <v>1000000</v>
      </c>
      <c r="M106" s="158"/>
    </row>
    <row r="107" spans="1:13" ht="21.75" customHeight="1">
      <c r="A107" s="59" t="s">
        <v>95</v>
      </c>
      <c r="B107" s="143"/>
      <c r="C107" s="102"/>
      <c r="D107" s="120"/>
      <c r="E107" s="102"/>
      <c r="F107" s="16" t="s">
        <v>14</v>
      </c>
      <c r="G107" s="26">
        <f>H107+I107+J107+K107+L107</f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158"/>
    </row>
    <row r="108" spans="1:13" ht="21.75" customHeight="1">
      <c r="A108" s="57"/>
      <c r="B108" s="144"/>
      <c r="C108" s="102"/>
      <c r="D108" s="121"/>
      <c r="E108" s="106"/>
      <c r="F108" s="16" t="s">
        <v>15</v>
      </c>
      <c r="G108" s="26">
        <f>H108+I108+J108+K108+L108</f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158"/>
    </row>
    <row r="109" spans="1:13" ht="21.75" customHeight="1">
      <c r="A109" s="116" t="s">
        <v>94</v>
      </c>
      <c r="B109" s="142" t="s">
        <v>23</v>
      </c>
      <c r="C109" s="101" t="s">
        <v>125</v>
      </c>
      <c r="D109" s="119" t="s">
        <v>134</v>
      </c>
      <c r="E109" s="101" t="s">
        <v>106</v>
      </c>
      <c r="F109" s="16" t="s">
        <v>12</v>
      </c>
      <c r="G109" s="26">
        <f aca="true" t="shared" si="30" ref="G109:L109">G110+G111+G112</f>
        <v>17874635.29</v>
      </c>
      <c r="H109" s="26">
        <f t="shared" si="30"/>
        <v>3915780</v>
      </c>
      <c r="I109" s="26">
        <f t="shared" si="30"/>
        <v>3809664.29</v>
      </c>
      <c r="J109" s="26">
        <f t="shared" si="30"/>
        <v>3134809</v>
      </c>
      <c r="K109" s="26">
        <f t="shared" si="30"/>
        <v>3593249</v>
      </c>
      <c r="L109" s="26">
        <f t="shared" si="30"/>
        <v>3421133</v>
      </c>
      <c r="M109" s="158"/>
    </row>
    <row r="110" spans="1:13" ht="21.75" customHeight="1">
      <c r="A110" s="117"/>
      <c r="B110" s="143"/>
      <c r="C110" s="102"/>
      <c r="D110" s="120"/>
      <c r="E110" s="102"/>
      <c r="F110" s="16" t="s">
        <v>13</v>
      </c>
      <c r="G110" s="26">
        <f>H110+I110+J110+K110+L110</f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158"/>
    </row>
    <row r="111" spans="1:13" ht="21.75" customHeight="1">
      <c r="A111" s="117"/>
      <c r="B111" s="143"/>
      <c r="C111" s="102"/>
      <c r="D111" s="120"/>
      <c r="E111" s="102"/>
      <c r="F111" s="16" t="s">
        <v>14</v>
      </c>
      <c r="G111" s="26">
        <f>H111+I111+J111+K111+L111</f>
        <v>17874635.29</v>
      </c>
      <c r="H111" s="26">
        <f>1513280+2402500</f>
        <v>3915780</v>
      </c>
      <c r="I111" s="26">
        <f>1178210+2631454.29</f>
        <v>3809664.29</v>
      </c>
      <c r="J111" s="26">
        <f>1154809+1980000</f>
        <v>3134809</v>
      </c>
      <c r="K111" s="26">
        <f>1513249+2080000</f>
        <v>3593249</v>
      </c>
      <c r="L111" s="26">
        <f>1341133+2080000</f>
        <v>3421133</v>
      </c>
      <c r="M111" s="158"/>
    </row>
    <row r="112" spans="1:13" ht="21.75" customHeight="1">
      <c r="A112" s="118"/>
      <c r="B112" s="144"/>
      <c r="C112" s="102"/>
      <c r="D112" s="121"/>
      <c r="E112" s="106"/>
      <c r="F112" s="16" t="s">
        <v>15</v>
      </c>
      <c r="G112" s="26">
        <f>H112+I112+J112+K112+L112</f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158"/>
    </row>
    <row r="113" spans="1:13" ht="21.75" customHeight="1">
      <c r="A113" s="116" t="s">
        <v>160</v>
      </c>
      <c r="B113" s="142" t="s">
        <v>159</v>
      </c>
      <c r="C113" s="101" t="s">
        <v>125</v>
      </c>
      <c r="D113" s="103" t="s">
        <v>137</v>
      </c>
      <c r="E113" s="101" t="s">
        <v>106</v>
      </c>
      <c r="F113" s="16" t="s">
        <v>12</v>
      </c>
      <c r="G113" s="26">
        <f aca="true" t="shared" si="31" ref="G113:L113">G114+G115+G116</f>
        <v>61882462.309999995</v>
      </c>
      <c r="H113" s="26">
        <f t="shared" si="31"/>
        <v>4920882.5</v>
      </c>
      <c r="I113" s="26">
        <f t="shared" si="31"/>
        <v>13941100</v>
      </c>
      <c r="J113" s="26">
        <f t="shared" si="31"/>
        <v>14165280</v>
      </c>
      <c r="K113" s="26">
        <f t="shared" si="31"/>
        <v>14318300.28</v>
      </c>
      <c r="L113" s="26">
        <f t="shared" si="31"/>
        <v>14536899.53</v>
      </c>
      <c r="M113" s="158"/>
    </row>
    <row r="114" spans="1:13" ht="21.75" customHeight="1">
      <c r="A114" s="117"/>
      <c r="B114" s="143"/>
      <c r="C114" s="102"/>
      <c r="D114" s="104"/>
      <c r="E114" s="102"/>
      <c r="F114" s="16" t="s">
        <v>13</v>
      </c>
      <c r="G114" s="26">
        <f>H114+I114+J114+K114+L114</f>
        <v>13503551.54</v>
      </c>
      <c r="H114" s="26">
        <f>845990.48+96482.96-233.44+4193.5</f>
        <v>946433.5</v>
      </c>
      <c r="I114" s="26">
        <f>2724868.3</f>
        <v>2724868.3</v>
      </c>
      <c r="J114" s="26">
        <v>3245713.93</v>
      </c>
      <c r="K114" s="26">
        <v>3265100.28</v>
      </c>
      <c r="L114" s="26">
        <v>3321435.53</v>
      </c>
      <c r="M114" s="158"/>
    </row>
    <row r="115" spans="1:13" ht="21.75" customHeight="1">
      <c r="A115" s="117"/>
      <c r="B115" s="143"/>
      <c r="C115" s="102"/>
      <c r="D115" s="104"/>
      <c r="E115" s="102"/>
      <c r="F115" s="16" t="s">
        <v>14</v>
      </c>
      <c r="G115" s="26">
        <f>H115+I115+J115+K115+L115</f>
        <v>48378910.769999996</v>
      </c>
      <c r="H115" s="26">
        <f>3768960+205489</f>
        <v>3974449</v>
      </c>
      <c r="I115" s="26">
        <v>11216231.7</v>
      </c>
      <c r="J115" s="26">
        <v>10919566.07</v>
      </c>
      <c r="K115" s="26">
        <v>11053200</v>
      </c>
      <c r="L115" s="26">
        <v>11215464</v>
      </c>
      <c r="M115" s="158"/>
    </row>
    <row r="116" spans="1:13" ht="21.75" customHeight="1">
      <c r="A116" s="118"/>
      <c r="B116" s="144"/>
      <c r="C116" s="102"/>
      <c r="D116" s="105"/>
      <c r="E116" s="106"/>
      <c r="F116" s="16" t="s">
        <v>15</v>
      </c>
      <c r="G116" s="26">
        <f>H116+I116+J116+K116+L116</f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159"/>
    </row>
    <row r="117" spans="1:13" ht="21.75" customHeight="1">
      <c r="A117" s="145" t="s">
        <v>47</v>
      </c>
      <c r="B117" s="148" t="s">
        <v>48</v>
      </c>
      <c r="C117" s="151" t="s">
        <v>125</v>
      </c>
      <c r="D117" s="154" t="s">
        <v>137</v>
      </c>
      <c r="E117" s="151" t="s">
        <v>106</v>
      </c>
      <c r="F117" s="42" t="s">
        <v>12</v>
      </c>
      <c r="G117" s="43">
        <f aca="true" t="shared" si="32" ref="G117:L117">G118+G119+G120</f>
        <v>150706070.189</v>
      </c>
      <c r="H117" s="43">
        <f>H118+H119+H120</f>
        <v>23814087.8</v>
      </c>
      <c r="I117" s="43">
        <f>I118+I119+I120</f>
        <v>44335526.50999999</v>
      </c>
      <c r="J117" s="43">
        <f>J118+J119+J120</f>
        <v>26978983.92</v>
      </c>
      <c r="K117" s="43">
        <f t="shared" si="32"/>
        <v>27573195.599</v>
      </c>
      <c r="L117" s="43">
        <f t="shared" si="32"/>
        <v>28004276.36</v>
      </c>
      <c r="M117" s="81"/>
    </row>
    <row r="118" spans="1:13" ht="21.75" customHeight="1">
      <c r="A118" s="146"/>
      <c r="B118" s="149"/>
      <c r="C118" s="152"/>
      <c r="D118" s="155"/>
      <c r="E118" s="152"/>
      <c r="F118" s="42" t="s">
        <v>13</v>
      </c>
      <c r="G118" s="43">
        <f>H118+I118+J118+K118+L118</f>
        <v>30359966.259999998</v>
      </c>
      <c r="H118" s="43">
        <f>H122+H134+H138+H142+H146+H150+H126+H130+H154+H158+H162</f>
        <v>2476339.29</v>
      </c>
      <c r="I118" s="43">
        <f>I122+I134+I138+I142+I146+I150+I126+I130+I154+I158+I162</f>
        <v>3715548.0300000003</v>
      </c>
      <c r="J118" s="43">
        <f>J122+J134+J138+J142+J146+J150+J126+J130+J154+J158+J162</f>
        <v>7577023.82</v>
      </c>
      <c r="K118" s="43">
        <f>K122+K134+K138+K142+K146+K150+K126+K130+K154+K158+K162</f>
        <v>8284372.33</v>
      </c>
      <c r="L118" s="43">
        <f>L122+L134+L138+L142+L146+L150+L126+L130+L154+L158+L162</f>
        <v>8306682.79</v>
      </c>
      <c r="M118" s="82"/>
    </row>
    <row r="119" spans="1:13" ht="21.75" customHeight="1">
      <c r="A119" s="146"/>
      <c r="B119" s="149"/>
      <c r="C119" s="152"/>
      <c r="D119" s="155"/>
      <c r="E119" s="152"/>
      <c r="F119" s="42" t="s">
        <v>14</v>
      </c>
      <c r="G119" s="43">
        <f>H119+I119+J119+K119+L119</f>
        <v>27534263.734</v>
      </c>
      <c r="H119" s="43">
        <f aca="true" t="shared" si="33" ref="H119:J120">H123+H135+H139+H143+H147+H151+H127+H131+H155+H159+H163</f>
        <v>11497014.51</v>
      </c>
      <c r="I119" s="43">
        <f t="shared" si="33"/>
        <v>5421714.0200000005</v>
      </c>
      <c r="J119" s="43">
        <f t="shared" si="33"/>
        <v>3523080.63</v>
      </c>
      <c r="K119" s="43">
        <f>K123+K135+K139+K143+K147+K151+K127+K131+K155+K159+K163</f>
        <v>3520974.224</v>
      </c>
      <c r="L119" s="43">
        <f>L123+L135+L139+L143+L147+L151+L127+L131+L155+L159+L163</f>
        <v>3571480.35</v>
      </c>
      <c r="M119" s="82"/>
    </row>
    <row r="120" spans="1:13" ht="21.75" customHeight="1">
      <c r="A120" s="147"/>
      <c r="B120" s="150"/>
      <c r="C120" s="153"/>
      <c r="D120" s="156"/>
      <c r="E120" s="153"/>
      <c r="F120" s="42" t="s">
        <v>15</v>
      </c>
      <c r="G120" s="43">
        <f>H120+I120+J120+K120+L120</f>
        <v>92811840.195</v>
      </c>
      <c r="H120" s="43">
        <f t="shared" si="33"/>
        <v>9840734</v>
      </c>
      <c r="I120" s="43">
        <f t="shared" si="33"/>
        <v>35198264.45999999</v>
      </c>
      <c r="J120" s="43">
        <f t="shared" si="33"/>
        <v>15878879.47</v>
      </c>
      <c r="K120" s="43">
        <f>K124+K136+K140+K144+K148+K152+K128+K132+K156+K160+K164</f>
        <v>15767849.045</v>
      </c>
      <c r="L120" s="43">
        <f>L124+L136+L140+L144+L148+L152+L128+L132+L156+L160+L164</f>
        <v>16126113.22</v>
      </c>
      <c r="M120" s="82"/>
    </row>
    <row r="121" spans="1:13" ht="21.75" customHeight="1">
      <c r="A121" s="116" t="s">
        <v>49</v>
      </c>
      <c r="B121" s="98" t="s">
        <v>50</v>
      </c>
      <c r="C121" s="101" t="s">
        <v>125</v>
      </c>
      <c r="D121" s="101"/>
      <c r="E121" s="101" t="s">
        <v>106</v>
      </c>
      <c r="F121" s="16" t="s">
        <v>12</v>
      </c>
      <c r="G121" s="26">
        <f aca="true" t="shared" si="34" ref="G121:L121">G122+G123+G124</f>
        <v>58058</v>
      </c>
      <c r="H121" s="26">
        <f t="shared" si="34"/>
        <v>58058</v>
      </c>
      <c r="I121" s="26">
        <f t="shared" si="34"/>
        <v>0</v>
      </c>
      <c r="J121" s="26">
        <f t="shared" si="34"/>
        <v>0</v>
      </c>
      <c r="K121" s="26">
        <f t="shared" si="34"/>
        <v>0</v>
      </c>
      <c r="L121" s="26">
        <f t="shared" si="34"/>
        <v>0</v>
      </c>
      <c r="M121" s="82" t="s">
        <v>144</v>
      </c>
    </row>
    <row r="122" spans="1:13" ht="21.75" customHeight="1">
      <c r="A122" s="117"/>
      <c r="B122" s="99"/>
      <c r="C122" s="102"/>
      <c r="D122" s="102"/>
      <c r="E122" s="102"/>
      <c r="F122" s="16" t="s">
        <v>13</v>
      </c>
      <c r="G122" s="26">
        <f>H122+I122+J122+K122+L122</f>
        <v>58058</v>
      </c>
      <c r="H122" s="26">
        <v>58058</v>
      </c>
      <c r="I122" s="26">
        <v>0</v>
      </c>
      <c r="J122" s="26">
        <v>0</v>
      </c>
      <c r="K122" s="26">
        <v>0</v>
      </c>
      <c r="L122" s="26">
        <v>0</v>
      </c>
      <c r="M122" s="82"/>
    </row>
    <row r="123" spans="1:13" ht="21.75" customHeight="1">
      <c r="A123" s="117"/>
      <c r="B123" s="99"/>
      <c r="C123" s="102"/>
      <c r="D123" s="102"/>
      <c r="E123" s="102"/>
      <c r="F123" s="16" t="s">
        <v>14</v>
      </c>
      <c r="G123" s="26">
        <f>H123+I123+J123+K123+L123</f>
        <v>0</v>
      </c>
      <c r="H123" s="26">
        <v>0</v>
      </c>
      <c r="I123" s="26">
        <v>0</v>
      </c>
      <c r="J123" s="26">
        <v>0</v>
      </c>
      <c r="K123" s="26"/>
      <c r="L123" s="26">
        <v>0</v>
      </c>
      <c r="M123" s="82"/>
    </row>
    <row r="124" spans="1:13" ht="21.75" customHeight="1">
      <c r="A124" s="118"/>
      <c r="B124" s="100"/>
      <c r="C124" s="102"/>
      <c r="D124" s="106"/>
      <c r="E124" s="106"/>
      <c r="F124" s="16" t="s">
        <v>15</v>
      </c>
      <c r="G124" s="26">
        <f>H124+I124+J124+K124+L124</f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82"/>
    </row>
    <row r="125" spans="1:13" ht="21.75" customHeight="1">
      <c r="A125" s="116" t="s">
        <v>51</v>
      </c>
      <c r="B125" s="98" t="s">
        <v>116</v>
      </c>
      <c r="C125" s="101" t="s">
        <v>125</v>
      </c>
      <c r="D125" s="119" t="s">
        <v>129</v>
      </c>
      <c r="E125" s="101" t="s">
        <v>106</v>
      </c>
      <c r="F125" s="16" t="s">
        <v>12</v>
      </c>
      <c r="G125" s="26">
        <f aca="true" t="shared" si="35" ref="G125:L125">G126+G127+G128</f>
        <v>14525521</v>
      </c>
      <c r="H125" s="26">
        <f t="shared" si="35"/>
        <v>12027171</v>
      </c>
      <c r="I125" s="26">
        <f t="shared" si="35"/>
        <v>2498350</v>
      </c>
      <c r="J125" s="26">
        <f t="shared" si="35"/>
        <v>0</v>
      </c>
      <c r="K125" s="26">
        <f t="shared" si="35"/>
        <v>0</v>
      </c>
      <c r="L125" s="26">
        <f t="shared" si="35"/>
        <v>0</v>
      </c>
      <c r="M125" s="82"/>
    </row>
    <row r="126" spans="1:13" ht="21.75" customHeight="1">
      <c r="A126" s="117"/>
      <c r="B126" s="99"/>
      <c r="C126" s="102"/>
      <c r="D126" s="120"/>
      <c r="E126" s="102"/>
      <c r="F126" s="16" t="s">
        <v>13</v>
      </c>
      <c r="G126" s="26">
        <f>H126+I126+J126+K126+L126</f>
        <v>977901</v>
      </c>
      <c r="H126" s="26">
        <v>900000</v>
      </c>
      <c r="I126" s="26">
        <v>77901</v>
      </c>
      <c r="J126" s="26">
        <v>0</v>
      </c>
      <c r="K126" s="26">
        <v>0</v>
      </c>
      <c r="L126" s="26">
        <v>0</v>
      </c>
      <c r="M126" s="82"/>
    </row>
    <row r="127" spans="1:13" ht="21.75" customHeight="1">
      <c r="A127" s="117"/>
      <c r="B127" s="99"/>
      <c r="C127" s="102"/>
      <c r="D127" s="120"/>
      <c r="E127" s="102"/>
      <c r="F127" s="16" t="s">
        <v>14</v>
      </c>
      <c r="G127" s="26">
        <f>H127+I127+J127+K127+L127</f>
        <v>9349858.94</v>
      </c>
      <c r="H127" s="26">
        <v>7685537</v>
      </c>
      <c r="I127" s="26">
        <f>464321.94+1200000</f>
        <v>1664321.94</v>
      </c>
      <c r="J127" s="26">
        <v>0</v>
      </c>
      <c r="K127" s="26">
        <v>0</v>
      </c>
      <c r="L127" s="26">
        <v>0</v>
      </c>
      <c r="M127" s="82"/>
    </row>
    <row r="128" spans="1:13" ht="21.75" customHeight="1">
      <c r="A128" s="118"/>
      <c r="B128" s="100"/>
      <c r="C128" s="102"/>
      <c r="D128" s="121"/>
      <c r="E128" s="106"/>
      <c r="F128" s="16" t="s">
        <v>15</v>
      </c>
      <c r="G128" s="26">
        <f>H128+I128+J128+K128+L128</f>
        <v>4197761.0600000005</v>
      </c>
      <c r="H128" s="26">
        <v>3441634</v>
      </c>
      <c r="I128" s="26">
        <v>756127.06</v>
      </c>
      <c r="J128" s="26">
        <v>0</v>
      </c>
      <c r="K128" s="26">
        <v>0</v>
      </c>
      <c r="L128" s="26">
        <v>0</v>
      </c>
      <c r="M128" s="82"/>
    </row>
    <row r="129" spans="1:25" s="35" customFormat="1" ht="21.75" customHeight="1">
      <c r="A129" s="116" t="s">
        <v>52</v>
      </c>
      <c r="B129" s="98" t="s">
        <v>169</v>
      </c>
      <c r="C129" s="101" t="s">
        <v>125</v>
      </c>
      <c r="D129" s="135" t="s">
        <v>170</v>
      </c>
      <c r="E129" s="101" t="s">
        <v>106</v>
      </c>
      <c r="F129" s="16" t="s">
        <v>12</v>
      </c>
      <c r="G129" s="26">
        <f aca="true" t="shared" si="36" ref="G129:L129">G130+G131+G132</f>
        <v>21151290</v>
      </c>
      <c r="H129" s="26">
        <f t="shared" si="36"/>
        <v>0</v>
      </c>
      <c r="I129" s="26">
        <f t="shared" si="36"/>
        <v>21151290</v>
      </c>
      <c r="J129" s="26">
        <f t="shared" si="36"/>
        <v>0</v>
      </c>
      <c r="K129" s="26">
        <f t="shared" si="36"/>
        <v>0</v>
      </c>
      <c r="L129" s="26">
        <f t="shared" si="36"/>
        <v>0</v>
      </c>
      <c r="M129" s="82"/>
      <c r="Y129" s="141"/>
    </row>
    <row r="130" spans="1:25" s="35" customFormat="1" ht="21.75" customHeight="1">
      <c r="A130" s="117"/>
      <c r="B130" s="99"/>
      <c r="C130" s="102"/>
      <c r="D130" s="136"/>
      <c r="E130" s="102"/>
      <c r="F130" s="16" t="s">
        <v>13</v>
      </c>
      <c r="G130" s="26">
        <f>H130+I130+J130+K130+L130</f>
        <v>851660</v>
      </c>
      <c r="H130" s="26">
        <v>0</v>
      </c>
      <c r="I130" s="26">
        <f>20320+351340+480000</f>
        <v>851660</v>
      </c>
      <c r="J130" s="26">
        <v>0</v>
      </c>
      <c r="K130" s="26">
        <v>0</v>
      </c>
      <c r="L130" s="26">
        <v>0</v>
      </c>
      <c r="M130" s="82"/>
      <c r="O130" s="36">
        <f>1759000+1400000+4507295+1195000</f>
        <v>8861295</v>
      </c>
      <c r="P130" s="36">
        <f>O130-N130</f>
        <v>8861295</v>
      </c>
      <c r="Y130" s="141"/>
    </row>
    <row r="131" spans="1:25" s="35" customFormat="1" ht="21.75" customHeight="1">
      <c r="A131" s="117"/>
      <c r="B131" s="99"/>
      <c r="C131" s="102"/>
      <c r="D131" s="136"/>
      <c r="E131" s="102"/>
      <c r="F131" s="16" t="s">
        <v>14</v>
      </c>
      <c r="G131" s="26">
        <f>H131+I131+J131+K131+L131</f>
        <v>405992.6</v>
      </c>
      <c r="H131" s="26">
        <v>0</v>
      </c>
      <c r="I131" s="26">
        <v>405992.6</v>
      </c>
      <c r="J131" s="26">
        <v>0</v>
      </c>
      <c r="K131" s="26">
        <v>0</v>
      </c>
      <c r="L131" s="26">
        <v>0</v>
      </c>
      <c r="M131" s="82"/>
      <c r="P131" s="36"/>
      <c r="Y131" s="141"/>
    </row>
    <row r="132" spans="1:25" s="35" customFormat="1" ht="21.75" customHeight="1">
      <c r="A132" s="118"/>
      <c r="B132" s="100"/>
      <c r="C132" s="106"/>
      <c r="D132" s="137"/>
      <c r="E132" s="106"/>
      <c r="F132" s="16" t="s">
        <v>15</v>
      </c>
      <c r="G132" s="26">
        <f>H132+I132+J132+K132+L132</f>
        <v>19893637.4</v>
      </c>
      <c r="H132" s="26">
        <v>0</v>
      </c>
      <c r="I132" s="26">
        <v>19893637.4</v>
      </c>
      <c r="J132" s="26">
        <v>0</v>
      </c>
      <c r="K132" s="26">
        <v>0</v>
      </c>
      <c r="L132" s="26">
        <v>0</v>
      </c>
      <c r="M132" s="82"/>
      <c r="N132" s="37"/>
      <c r="Y132" s="141"/>
    </row>
    <row r="133" spans="1:13" ht="21.75" customHeight="1">
      <c r="A133" s="116" t="s">
        <v>54</v>
      </c>
      <c r="B133" s="98" t="s">
        <v>166</v>
      </c>
      <c r="C133" s="101" t="s">
        <v>125</v>
      </c>
      <c r="D133" s="119" t="s">
        <v>129</v>
      </c>
      <c r="E133" s="101" t="s">
        <v>106</v>
      </c>
      <c r="F133" s="16" t="s">
        <v>12</v>
      </c>
      <c r="G133" s="26">
        <f aca="true" t="shared" si="37" ref="G133:L133">G134+G135+G136</f>
        <v>676415</v>
      </c>
      <c r="H133" s="26">
        <f t="shared" si="37"/>
        <v>0</v>
      </c>
      <c r="I133" s="26">
        <f t="shared" si="37"/>
        <v>676415</v>
      </c>
      <c r="J133" s="26">
        <f t="shared" si="37"/>
        <v>0</v>
      </c>
      <c r="K133" s="26">
        <f t="shared" si="37"/>
        <v>0</v>
      </c>
      <c r="L133" s="26">
        <f t="shared" si="37"/>
        <v>0</v>
      </c>
      <c r="M133" s="82"/>
    </row>
    <row r="134" spans="1:13" ht="21.75" customHeight="1">
      <c r="A134" s="117"/>
      <c r="B134" s="99"/>
      <c r="C134" s="102"/>
      <c r="D134" s="120"/>
      <c r="E134" s="102"/>
      <c r="F134" s="16" t="s">
        <v>13</v>
      </c>
      <c r="G134" s="26">
        <f>H134+I134+J134+K134+L134</f>
        <v>676415</v>
      </c>
      <c r="H134" s="26">
        <v>0</v>
      </c>
      <c r="I134" s="26">
        <v>676415</v>
      </c>
      <c r="J134" s="26">
        <v>0</v>
      </c>
      <c r="K134" s="26">
        <v>0</v>
      </c>
      <c r="L134" s="26">
        <v>0</v>
      </c>
      <c r="M134" s="82"/>
    </row>
    <row r="135" spans="1:13" ht="21.75" customHeight="1">
      <c r="A135" s="117"/>
      <c r="B135" s="99"/>
      <c r="C135" s="102"/>
      <c r="D135" s="120"/>
      <c r="E135" s="102"/>
      <c r="F135" s="16" t="s">
        <v>14</v>
      </c>
      <c r="G135" s="26">
        <f>H135+I135+J135+K135+L135</f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82"/>
    </row>
    <row r="136" spans="1:13" ht="21.75" customHeight="1">
      <c r="A136" s="118"/>
      <c r="B136" s="100"/>
      <c r="C136" s="102"/>
      <c r="D136" s="121"/>
      <c r="E136" s="106"/>
      <c r="F136" s="16" t="s">
        <v>15</v>
      </c>
      <c r="G136" s="26">
        <f>H136+I136+J136+K136+L136</f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122"/>
    </row>
    <row r="137" spans="1:13" ht="21.75" customHeight="1">
      <c r="A137" s="116" t="s">
        <v>84</v>
      </c>
      <c r="B137" s="98" t="s">
        <v>53</v>
      </c>
      <c r="C137" s="101" t="s">
        <v>125</v>
      </c>
      <c r="D137" s="119" t="s">
        <v>131</v>
      </c>
      <c r="E137" s="101" t="s">
        <v>106</v>
      </c>
      <c r="F137" s="16" t="s">
        <v>12</v>
      </c>
      <c r="G137" s="26">
        <f aca="true" t="shared" si="38" ref="G137:L137">G138+G139+G140</f>
        <v>3656468</v>
      </c>
      <c r="H137" s="26">
        <f t="shared" si="38"/>
        <v>547300</v>
      </c>
      <c r="I137" s="26">
        <f t="shared" si="38"/>
        <v>664140</v>
      </c>
      <c r="J137" s="26">
        <f t="shared" si="38"/>
        <v>783340</v>
      </c>
      <c r="K137" s="26">
        <f t="shared" si="38"/>
        <v>814538</v>
      </c>
      <c r="L137" s="26">
        <f t="shared" si="38"/>
        <v>847150</v>
      </c>
      <c r="M137" s="81" t="s">
        <v>120</v>
      </c>
    </row>
    <row r="138" spans="1:13" ht="21.75" customHeight="1">
      <c r="A138" s="117"/>
      <c r="B138" s="99"/>
      <c r="C138" s="102"/>
      <c r="D138" s="120"/>
      <c r="E138" s="102"/>
      <c r="F138" s="16" t="s">
        <v>13</v>
      </c>
      <c r="G138" s="26">
        <f>H138+I138+J138+K138+L138</f>
        <v>2484248</v>
      </c>
      <c r="H138" s="26">
        <v>408000</v>
      </c>
      <c r="I138" s="26">
        <v>433440</v>
      </c>
      <c r="J138" s="26">
        <v>526320</v>
      </c>
      <c r="K138" s="26">
        <v>547288</v>
      </c>
      <c r="L138" s="26">
        <v>569200</v>
      </c>
      <c r="M138" s="82"/>
    </row>
    <row r="139" spans="1:13" ht="21.75" customHeight="1">
      <c r="A139" s="117"/>
      <c r="B139" s="99"/>
      <c r="C139" s="102"/>
      <c r="D139" s="120"/>
      <c r="E139" s="102"/>
      <c r="F139" s="16" t="s">
        <v>14</v>
      </c>
      <c r="G139" s="26">
        <f>H139+I139+J139+K139+L139</f>
        <v>1172220</v>
      </c>
      <c r="H139" s="26">
        <v>139300</v>
      </c>
      <c r="I139" s="26">
        <v>230700</v>
      </c>
      <c r="J139" s="26">
        <v>257020</v>
      </c>
      <c r="K139" s="26">
        <v>267250</v>
      </c>
      <c r="L139" s="26">
        <v>277950</v>
      </c>
      <c r="M139" s="82"/>
    </row>
    <row r="140" spans="1:13" ht="21.75" customHeight="1">
      <c r="A140" s="118"/>
      <c r="B140" s="100"/>
      <c r="C140" s="102"/>
      <c r="D140" s="121"/>
      <c r="E140" s="106"/>
      <c r="F140" s="16" t="s">
        <v>15</v>
      </c>
      <c r="G140" s="26">
        <f>H140+I140+J140+K140+L140</f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122"/>
    </row>
    <row r="141" spans="1:13" ht="21.75" customHeight="1">
      <c r="A141" s="116" t="s">
        <v>158</v>
      </c>
      <c r="B141" s="98" t="s">
        <v>88</v>
      </c>
      <c r="C141" s="101" t="s">
        <v>125</v>
      </c>
      <c r="D141" s="119" t="s">
        <v>139</v>
      </c>
      <c r="E141" s="101" t="s">
        <v>106</v>
      </c>
      <c r="F141" s="16" t="s">
        <v>12</v>
      </c>
      <c r="G141" s="26">
        <f aca="true" t="shared" si="39" ref="G141:L141">G142+G143+G144</f>
        <v>7318184.9</v>
      </c>
      <c r="H141" s="26">
        <f t="shared" si="39"/>
        <v>104312.9</v>
      </c>
      <c r="I141" s="26">
        <f t="shared" si="39"/>
        <v>1803468</v>
      </c>
      <c r="J141" s="26">
        <f t="shared" si="39"/>
        <v>1803468</v>
      </c>
      <c r="K141" s="26">
        <f t="shared" si="39"/>
        <v>1803468</v>
      </c>
      <c r="L141" s="26">
        <f t="shared" si="39"/>
        <v>1803468</v>
      </c>
      <c r="M141" s="81" t="s">
        <v>172</v>
      </c>
    </row>
    <row r="142" spans="1:14" ht="21.75" customHeight="1">
      <c r="A142" s="117"/>
      <c r="B142" s="99"/>
      <c r="C142" s="102"/>
      <c r="D142" s="120"/>
      <c r="E142" s="102"/>
      <c r="F142" s="16" t="s">
        <v>13</v>
      </c>
      <c r="G142" s="26">
        <f>H142+I142+J142+K142+L142</f>
        <v>3711248.9</v>
      </c>
      <c r="H142" s="26">
        <v>104312.9</v>
      </c>
      <c r="I142" s="26">
        <f>500000+401734</f>
        <v>901734</v>
      </c>
      <c r="J142" s="26">
        <v>901734</v>
      </c>
      <c r="K142" s="26">
        <v>901734</v>
      </c>
      <c r="L142" s="26">
        <v>901734</v>
      </c>
      <c r="M142" s="82"/>
      <c r="N142" s="13"/>
    </row>
    <row r="143" spans="1:13" ht="21.75" customHeight="1">
      <c r="A143" s="117"/>
      <c r="B143" s="99"/>
      <c r="C143" s="102"/>
      <c r="D143" s="120"/>
      <c r="E143" s="102"/>
      <c r="F143" s="16" t="s">
        <v>14</v>
      </c>
      <c r="G143" s="26">
        <f>H143+I143+J143+K143+L143</f>
        <v>3606936</v>
      </c>
      <c r="H143" s="26"/>
      <c r="I143" s="26">
        <v>901734</v>
      </c>
      <c r="J143" s="26">
        <v>901734</v>
      </c>
      <c r="K143" s="26">
        <v>901734</v>
      </c>
      <c r="L143" s="26">
        <v>901734</v>
      </c>
      <c r="M143" s="82"/>
    </row>
    <row r="144" spans="1:13" ht="21.75" customHeight="1">
      <c r="A144" s="118"/>
      <c r="B144" s="100"/>
      <c r="C144" s="102"/>
      <c r="D144" s="121"/>
      <c r="E144" s="106"/>
      <c r="F144" s="16" t="s">
        <v>15</v>
      </c>
      <c r="G144" s="26">
        <f>H144+I144+J144+K144+L144</f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122"/>
    </row>
    <row r="145" spans="1:13" ht="21.75" customHeight="1">
      <c r="A145" s="116" t="s">
        <v>164</v>
      </c>
      <c r="B145" s="98" t="s">
        <v>163</v>
      </c>
      <c r="C145" s="101" t="s">
        <v>125</v>
      </c>
      <c r="D145" s="119" t="s">
        <v>139</v>
      </c>
      <c r="E145" s="101" t="s">
        <v>106</v>
      </c>
      <c r="F145" s="16" t="s">
        <v>12</v>
      </c>
      <c r="G145" s="26">
        <f aca="true" t="shared" si="40" ref="G145:L145">G146+G147+G148</f>
        <v>6501327.970000001</v>
      </c>
      <c r="H145" s="26">
        <f t="shared" si="40"/>
        <v>2568957</v>
      </c>
      <c r="I145" s="26">
        <f t="shared" si="40"/>
        <v>1360722.97</v>
      </c>
      <c r="J145" s="26">
        <f t="shared" si="40"/>
        <v>857216</v>
      </c>
      <c r="K145" s="26">
        <f t="shared" si="40"/>
        <v>857216</v>
      </c>
      <c r="L145" s="26">
        <f t="shared" si="40"/>
        <v>857216</v>
      </c>
      <c r="M145" s="81" t="s">
        <v>165</v>
      </c>
    </row>
    <row r="146" spans="1:14" ht="21.75" customHeight="1">
      <c r="A146" s="117"/>
      <c r="B146" s="99"/>
      <c r="C146" s="102"/>
      <c r="D146" s="120"/>
      <c r="E146" s="102"/>
      <c r="F146" s="16" t="s">
        <v>13</v>
      </c>
      <c r="G146" s="26">
        <f>H146+I146+J146+K146+L146</f>
        <v>2300398.99</v>
      </c>
      <c r="H146" s="26">
        <v>770687.1</v>
      </c>
      <c r="I146" s="26">
        <f>670000-411783.11+500000</f>
        <v>758216.89</v>
      </c>
      <c r="J146" s="26">
        <v>257165</v>
      </c>
      <c r="K146" s="26">
        <v>257165</v>
      </c>
      <c r="L146" s="26">
        <v>257165</v>
      </c>
      <c r="M146" s="82"/>
      <c r="N146" s="13"/>
    </row>
    <row r="147" spans="1:13" ht="21.75" customHeight="1">
      <c r="A147" s="117"/>
      <c r="B147" s="99"/>
      <c r="C147" s="102"/>
      <c r="D147" s="120"/>
      <c r="E147" s="102"/>
      <c r="F147" s="16" t="s">
        <v>14</v>
      </c>
      <c r="G147" s="26">
        <f>H147+I147+J147+K147+L147</f>
        <v>4200928.98</v>
      </c>
      <c r="H147" s="26">
        <v>1798269.9</v>
      </c>
      <c r="I147" s="26">
        <v>602506.08</v>
      </c>
      <c r="J147" s="26">
        <v>600051</v>
      </c>
      <c r="K147" s="26">
        <v>600051</v>
      </c>
      <c r="L147" s="26">
        <v>600051</v>
      </c>
      <c r="M147" s="82"/>
    </row>
    <row r="148" spans="1:13" ht="21.75" customHeight="1">
      <c r="A148" s="118"/>
      <c r="B148" s="100"/>
      <c r="C148" s="102"/>
      <c r="D148" s="121"/>
      <c r="E148" s="106"/>
      <c r="F148" s="16" t="s">
        <v>15</v>
      </c>
      <c r="G148" s="26">
        <f>H148+I148+J148+K148+L148</f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122"/>
    </row>
    <row r="149" spans="1:13" ht="21.75" customHeight="1">
      <c r="A149" s="57"/>
      <c r="B149" s="98" t="s">
        <v>90</v>
      </c>
      <c r="C149" s="101" t="s">
        <v>125</v>
      </c>
      <c r="D149" s="135" t="s">
        <v>156</v>
      </c>
      <c r="E149" s="101" t="s">
        <v>106</v>
      </c>
      <c r="F149" s="16" t="s">
        <v>12</v>
      </c>
      <c r="G149" s="26">
        <f>G150+G151+G152</f>
        <v>227000</v>
      </c>
      <c r="H149" s="26">
        <v>0</v>
      </c>
      <c r="I149" s="26">
        <f>I150+I151+I152</f>
        <v>0</v>
      </c>
      <c r="J149" s="26">
        <f>J150+J151+J152</f>
        <v>0</v>
      </c>
      <c r="K149" s="26">
        <v>0</v>
      </c>
      <c r="L149" s="26">
        <f>L150+L151+L152</f>
        <v>0</v>
      </c>
      <c r="M149" s="81" t="s">
        <v>171</v>
      </c>
    </row>
    <row r="150" spans="1:13" ht="21.75" customHeight="1">
      <c r="A150" s="57" t="s">
        <v>167</v>
      </c>
      <c r="B150" s="99"/>
      <c r="C150" s="102"/>
      <c r="D150" s="136"/>
      <c r="E150" s="102"/>
      <c r="F150" s="16" t="s">
        <v>13</v>
      </c>
      <c r="G150" s="26">
        <f>H150+I150+J150+K150+L150</f>
        <v>227000</v>
      </c>
      <c r="H150" s="26">
        <v>227000</v>
      </c>
      <c r="I150" s="26">
        <v>0</v>
      </c>
      <c r="J150" s="26">
        <v>0</v>
      </c>
      <c r="K150" s="26">
        <v>0</v>
      </c>
      <c r="L150" s="26">
        <v>0</v>
      </c>
      <c r="M150" s="82"/>
    </row>
    <row r="151" spans="1:13" ht="21.75" customHeight="1">
      <c r="A151" s="57"/>
      <c r="B151" s="99"/>
      <c r="C151" s="102"/>
      <c r="D151" s="136"/>
      <c r="E151" s="102"/>
      <c r="F151" s="16" t="s">
        <v>14</v>
      </c>
      <c r="G151" s="26">
        <f>H151+I151+J151+K151+L151</f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82"/>
    </row>
    <row r="152" spans="1:13" ht="21.75" customHeight="1">
      <c r="A152" s="57"/>
      <c r="B152" s="100"/>
      <c r="C152" s="102"/>
      <c r="D152" s="137"/>
      <c r="E152" s="106"/>
      <c r="F152" s="16" t="s">
        <v>15</v>
      </c>
      <c r="G152" s="26">
        <f>H152+I152+J152+K152+L152</f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82"/>
    </row>
    <row r="153" spans="1:13" ht="21.75" customHeight="1">
      <c r="A153" s="116" t="s">
        <v>168</v>
      </c>
      <c r="B153" s="98" t="s">
        <v>157</v>
      </c>
      <c r="C153" s="101" t="s">
        <v>125</v>
      </c>
      <c r="D153" s="103" t="s">
        <v>135</v>
      </c>
      <c r="E153" s="101" t="s">
        <v>106</v>
      </c>
      <c r="F153" s="16" t="s">
        <v>12</v>
      </c>
      <c r="G153" s="26">
        <f aca="true" t="shared" si="41" ref="G153:L153">G154+G155+G156</f>
        <v>77596365.319</v>
      </c>
      <c r="H153" s="26">
        <f t="shared" si="41"/>
        <v>8281288.9</v>
      </c>
      <c r="I153" s="26">
        <f t="shared" si="41"/>
        <v>16181140.54</v>
      </c>
      <c r="J153" s="26">
        <f t="shared" si="41"/>
        <v>17660815.92</v>
      </c>
      <c r="K153" s="26">
        <f t="shared" si="41"/>
        <v>17537325.599</v>
      </c>
      <c r="L153" s="26">
        <f t="shared" si="41"/>
        <v>17935794.36</v>
      </c>
      <c r="M153" s="81" t="s">
        <v>161</v>
      </c>
    </row>
    <row r="154" spans="1:13" ht="21.75" customHeight="1">
      <c r="A154" s="117"/>
      <c r="B154" s="99"/>
      <c r="C154" s="102"/>
      <c r="D154" s="104"/>
      <c r="E154" s="102"/>
      <c r="F154" s="16" t="s">
        <v>13</v>
      </c>
      <c r="G154" s="26">
        <f>H154+I154+J154+K154+L154</f>
        <v>77596.37</v>
      </c>
      <c r="H154" s="26">
        <v>8281.29</v>
      </c>
      <c r="I154" s="26">
        <v>16181.139999999996</v>
      </c>
      <c r="J154" s="26">
        <v>17660.82</v>
      </c>
      <c r="K154" s="26">
        <v>17537.33</v>
      </c>
      <c r="L154" s="26">
        <v>17935.79</v>
      </c>
      <c r="M154" s="82"/>
    </row>
    <row r="155" spans="1:13" ht="21.75" customHeight="1">
      <c r="A155" s="117"/>
      <c r="B155" s="99"/>
      <c r="C155" s="102"/>
      <c r="D155" s="104"/>
      <c r="E155" s="102"/>
      <c r="F155" s="16" t="s">
        <v>14</v>
      </c>
      <c r="G155" s="26">
        <f>H155+I155+J155+K155+L155</f>
        <v>8798327.214</v>
      </c>
      <c r="H155" s="26">
        <f>1873906.61+1</f>
        <v>1873907.61</v>
      </c>
      <c r="I155" s="26">
        <v>1616459.4000000001</v>
      </c>
      <c r="J155" s="26">
        <v>1764275.63</v>
      </c>
      <c r="K155" s="26">
        <v>1751939.224</v>
      </c>
      <c r="L155" s="26">
        <v>1791745.35</v>
      </c>
      <c r="M155" s="82"/>
    </row>
    <row r="156" spans="1:13" ht="21.75" customHeight="1">
      <c r="A156" s="118"/>
      <c r="B156" s="100"/>
      <c r="C156" s="102"/>
      <c r="D156" s="105"/>
      <c r="E156" s="106"/>
      <c r="F156" s="16" t="s">
        <v>15</v>
      </c>
      <c r="G156" s="26">
        <f>H156+I156+J156+K156+L156</f>
        <v>68720441.735</v>
      </c>
      <c r="H156" s="26">
        <v>6399100</v>
      </c>
      <c r="I156" s="26">
        <v>14548499.999999998</v>
      </c>
      <c r="J156" s="26">
        <v>15878879.47</v>
      </c>
      <c r="K156" s="26">
        <v>15767849.045</v>
      </c>
      <c r="L156" s="26">
        <v>16126113.22</v>
      </c>
      <c r="M156" s="122"/>
    </row>
    <row r="157" spans="1:13" ht="21.75" customHeight="1" outlineLevel="1">
      <c r="A157" s="116" t="s">
        <v>178</v>
      </c>
      <c r="B157" s="98" t="s">
        <v>180</v>
      </c>
      <c r="C157" s="101" t="s">
        <v>125</v>
      </c>
      <c r="D157" s="103" t="s">
        <v>135</v>
      </c>
      <c r="E157" s="101" t="s">
        <v>106</v>
      </c>
      <c r="F157" s="16" t="s">
        <v>12</v>
      </c>
      <c r="G157" s="26">
        <f aca="true" t="shared" si="42" ref="G157:L157">G158+G159+G160</f>
        <v>12592973</v>
      </c>
      <c r="H157" s="26">
        <f t="shared" si="42"/>
        <v>0</v>
      </c>
      <c r="I157" s="26">
        <f t="shared" si="42"/>
        <v>0</v>
      </c>
      <c r="J157" s="26">
        <f t="shared" si="42"/>
        <v>4243923</v>
      </c>
      <c r="K157" s="26">
        <f t="shared" si="42"/>
        <v>4174525</v>
      </c>
      <c r="L157" s="26">
        <f t="shared" si="42"/>
        <v>4174525</v>
      </c>
      <c r="M157" s="81" t="s">
        <v>188</v>
      </c>
    </row>
    <row r="158" spans="1:13" ht="21.75" customHeight="1" outlineLevel="1">
      <c r="A158" s="117"/>
      <c r="B158" s="99"/>
      <c r="C158" s="102"/>
      <c r="D158" s="104"/>
      <c r="E158" s="102"/>
      <c r="F158" s="16" t="s">
        <v>13</v>
      </c>
      <c r="G158" s="26">
        <f>H158+I158+J158+K158+L158</f>
        <v>12592973</v>
      </c>
      <c r="H158" s="26"/>
      <c r="I158" s="26"/>
      <c r="J158" s="26">
        <v>4243923</v>
      </c>
      <c r="K158" s="26">
        <v>4174525</v>
      </c>
      <c r="L158" s="26">
        <v>4174525</v>
      </c>
      <c r="M158" s="82"/>
    </row>
    <row r="159" spans="1:13" ht="21.75" customHeight="1" outlineLevel="1">
      <c r="A159" s="117"/>
      <c r="B159" s="99"/>
      <c r="C159" s="102"/>
      <c r="D159" s="104"/>
      <c r="E159" s="102"/>
      <c r="F159" s="16" t="s">
        <v>14</v>
      </c>
      <c r="G159" s="26">
        <f>H159+I159+J159+K159+L159</f>
        <v>0</v>
      </c>
      <c r="H159" s="26"/>
      <c r="I159" s="26"/>
      <c r="J159" s="26">
        <v>0</v>
      </c>
      <c r="K159" s="26">
        <v>0</v>
      </c>
      <c r="L159" s="26">
        <v>0</v>
      </c>
      <c r="M159" s="82"/>
    </row>
    <row r="160" spans="1:13" ht="21.75" customHeight="1" outlineLevel="1">
      <c r="A160" s="118"/>
      <c r="B160" s="100"/>
      <c r="C160" s="102"/>
      <c r="D160" s="105"/>
      <c r="E160" s="106"/>
      <c r="F160" s="16" t="s">
        <v>15</v>
      </c>
      <c r="G160" s="26">
        <f>H160+I160+J160+K160+L160</f>
        <v>0</v>
      </c>
      <c r="H160" s="26"/>
      <c r="I160" s="26"/>
      <c r="J160" s="26">
        <v>0</v>
      </c>
      <c r="K160" s="26">
        <v>0</v>
      </c>
      <c r="L160" s="26">
        <v>0</v>
      </c>
      <c r="M160" s="122"/>
    </row>
    <row r="161" spans="1:13" ht="21.75" customHeight="1" outlineLevel="1">
      <c r="A161" s="116" t="s">
        <v>179</v>
      </c>
      <c r="B161" s="98" t="s">
        <v>181</v>
      </c>
      <c r="C161" s="101" t="s">
        <v>125</v>
      </c>
      <c r="D161" s="103" t="s">
        <v>135</v>
      </c>
      <c r="E161" s="101" t="s">
        <v>106</v>
      </c>
      <c r="F161" s="16" t="s">
        <v>12</v>
      </c>
      <c r="G161" s="26">
        <f aca="true" t="shared" si="43" ref="G161:L161">G162+G163+G164</f>
        <v>6402467</v>
      </c>
      <c r="H161" s="26">
        <f t="shared" si="43"/>
        <v>0</v>
      </c>
      <c r="I161" s="26">
        <f t="shared" si="43"/>
        <v>0</v>
      </c>
      <c r="J161" s="26">
        <f t="shared" si="43"/>
        <v>1630221</v>
      </c>
      <c r="K161" s="26">
        <f t="shared" si="43"/>
        <v>2386123</v>
      </c>
      <c r="L161" s="26">
        <f t="shared" si="43"/>
        <v>2386123</v>
      </c>
      <c r="M161" s="81" t="s">
        <v>184</v>
      </c>
    </row>
    <row r="162" spans="1:13" ht="21.75" customHeight="1" outlineLevel="1">
      <c r="A162" s="117"/>
      <c r="B162" s="99"/>
      <c r="C162" s="102"/>
      <c r="D162" s="104"/>
      <c r="E162" s="102"/>
      <c r="F162" s="16" t="s">
        <v>13</v>
      </c>
      <c r="G162" s="26">
        <f>H162+I162+J162+K162+L162</f>
        <v>6402467</v>
      </c>
      <c r="H162" s="26"/>
      <c r="I162" s="26"/>
      <c r="J162" s="26">
        <v>1630221</v>
      </c>
      <c r="K162" s="26">
        <v>2386123</v>
      </c>
      <c r="L162" s="26">
        <v>2386123</v>
      </c>
      <c r="M162" s="82"/>
    </row>
    <row r="163" spans="1:13" ht="21.75" customHeight="1" outlineLevel="1">
      <c r="A163" s="117"/>
      <c r="B163" s="99"/>
      <c r="C163" s="102"/>
      <c r="D163" s="104"/>
      <c r="E163" s="102"/>
      <c r="F163" s="16" t="s">
        <v>14</v>
      </c>
      <c r="G163" s="26">
        <f>H163+I163+J163+K163+L163</f>
        <v>0</v>
      </c>
      <c r="H163" s="26"/>
      <c r="I163" s="26"/>
      <c r="J163" s="26">
        <v>0</v>
      </c>
      <c r="K163" s="26">
        <v>0</v>
      </c>
      <c r="L163" s="26">
        <v>0</v>
      </c>
      <c r="M163" s="82"/>
    </row>
    <row r="164" spans="1:13" ht="21.75" customHeight="1" outlineLevel="1">
      <c r="A164" s="118"/>
      <c r="B164" s="100"/>
      <c r="C164" s="102"/>
      <c r="D164" s="105"/>
      <c r="E164" s="106"/>
      <c r="F164" s="16" t="s">
        <v>15</v>
      </c>
      <c r="G164" s="26">
        <f>H164+I164+J164+K164+L164</f>
        <v>0</v>
      </c>
      <c r="H164" s="26"/>
      <c r="I164" s="26"/>
      <c r="J164" s="26">
        <v>0</v>
      </c>
      <c r="K164" s="26">
        <v>0</v>
      </c>
      <c r="L164" s="26">
        <v>0</v>
      </c>
      <c r="M164" s="122"/>
    </row>
    <row r="165" spans="1:13" ht="22.5" customHeight="1">
      <c r="A165" s="107" t="s">
        <v>55</v>
      </c>
      <c r="B165" s="110" t="s">
        <v>147</v>
      </c>
      <c r="C165" s="113" t="s">
        <v>125</v>
      </c>
      <c r="D165" s="134" t="s">
        <v>122</v>
      </c>
      <c r="E165" s="113" t="s">
        <v>106</v>
      </c>
      <c r="F165" s="39" t="s">
        <v>12</v>
      </c>
      <c r="G165" s="40">
        <f aca="true" t="shared" si="44" ref="G165:L165">G166+G167+G168</f>
        <v>84512005.21</v>
      </c>
      <c r="H165" s="40">
        <f>H166+H167+H168</f>
        <v>21453187.27</v>
      </c>
      <c r="I165" s="40">
        <f>I166+I167+I168</f>
        <v>27537187.34</v>
      </c>
      <c r="J165" s="40">
        <f>J166+J167+J168</f>
        <v>12913072.44</v>
      </c>
      <c r="K165" s="40">
        <f t="shared" si="44"/>
        <v>10582612.16</v>
      </c>
      <c r="L165" s="40">
        <f t="shared" si="44"/>
        <v>12025946</v>
      </c>
      <c r="M165" s="126"/>
    </row>
    <row r="166" spans="1:13" ht="22.5" customHeight="1">
      <c r="A166" s="108"/>
      <c r="B166" s="111"/>
      <c r="C166" s="114"/>
      <c r="D166" s="139"/>
      <c r="E166" s="114"/>
      <c r="F166" s="39" t="s">
        <v>13</v>
      </c>
      <c r="G166" s="40">
        <f>H166+I166+J166+K166+L166</f>
        <v>57839571.91</v>
      </c>
      <c r="H166" s="40">
        <f aca="true" t="shared" si="45" ref="H166:L168">H170+H174+H178+H186+H198+H182+H190</f>
        <v>9911340.129999999</v>
      </c>
      <c r="I166" s="40">
        <f>I170+I174+I178+I186+I198+I182+I190</f>
        <v>12406601.18</v>
      </c>
      <c r="J166" s="40">
        <f t="shared" si="45"/>
        <v>12913072.44</v>
      </c>
      <c r="K166" s="40">
        <f t="shared" si="45"/>
        <v>10582612.16</v>
      </c>
      <c r="L166" s="40">
        <f t="shared" si="45"/>
        <v>12025946</v>
      </c>
      <c r="M166" s="127"/>
    </row>
    <row r="167" spans="1:13" ht="22.5" customHeight="1">
      <c r="A167" s="108"/>
      <c r="B167" s="111"/>
      <c r="C167" s="114"/>
      <c r="D167" s="139"/>
      <c r="E167" s="114"/>
      <c r="F167" s="39" t="s">
        <v>14</v>
      </c>
      <c r="G167" s="40">
        <f>H167+I167+J167+K167+L167</f>
        <v>26672433.3</v>
      </c>
      <c r="H167" s="40">
        <f t="shared" si="45"/>
        <v>11541847.14</v>
      </c>
      <c r="I167" s="40">
        <f t="shared" si="45"/>
        <v>15130586.16</v>
      </c>
      <c r="J167" s="40">
        <f t="shared" si="45"/>
        <v>0</v>
      </c>
      <c r="K167" s="40">
        <f t="shared" si="45"/>
        <v>0</v>
      </c>
      <c r="L167" s="40">
        <f t="shared" si="45"/>
        <v>0</v>
      </c>
      <c r="M167" s="127"/>
    </row>
    <row r="168" spans="1:26" ht="22.5" customHeight="1">
      <c r="A168" s="109"/>
      <c r="B168" s="112"/>
      <c r="C168" s="115"/>
      <c r="D168" s="140"/>
      <c r="E168" s="115"/>
      <c r="F168" s="39" t="s">
        <v>15</v>
      </c>
      <c r="G168" s="40">
        <f>H168+I168+J168+K168+L168</f>
        <v>0</v>
      </c>
      <c r="H168" s="40">
        <f t="shared" si="45"/>
        <v>0</v>
      </c>
      <c r="I168" s="40">
        <f t="shared" si="45"/>
        <v>0</v>
      </c>
      <c r="J168" s="40">
        <f t="shared" si="45"/>
        <v>0</v>
      </c>
      <c r="K168" s="40">
        <f t="shared" si="45"/>
        <v>0</v>
      </c>
      <c r="L168" s="40">
        <f t="shared" si="45"/>
        <v>0</v>
      </c>
      <c r="M168" s="128"/>
      <c r="Y168" s="138" t="s">
        <v>87</v>
      </c>
      <c r="Z168" s="3"/>
    </row>
    <row r="169" spans="1:25" ht="21.75" customHeight="1">
      <c r="A169" s="116" t="s">
        <v>56</v>
      </c>
      <c r="B169" s="98" t="s">
        <v>77</v>
      </c>
      <c r="C169" s="101" t="s">
        <v>125</v>
      </c>
      <c r="D169" s="103" t="s">
        <v>138</v>
      </c>
      <c r="E169" s="101" t="s">
        <v>106</v>
      </c>
      <c r="F169" s="16" t="s">
        <v>12</v>
      </c>
      <c r="G169" s="26">
        <f aca="true" t="shared" si="46" ref="G169:L169">G170+G171+G172</f>
        <v>59121516.20999999</v>
      </c>
      <c r="H169" s="26">
        <f t="shared" si="46"/>
        <v>14048396.27</v>
      </c>
      <c r="I169" s="26">
        <f t="shared" si="46"/>
        <v>22804187.34</v>
      </c>
      <c r="J169" s="26">
        <f t="shared" si="46"/>
        <v>9395506.44</v>
      </c>
      <c r="K169" s="26">
        <f t="shared" si="46"/>
        <v>5565046.16</v>
      </c>
      <c r="L169" s="26">
        <f t="shared" si="46"/>
        <v>7308380</v>
      </c>
      <c r="M169" s="82" t="s">
        <v>151</v>
      </c>
      <c r="Y169" s="138"/>
    </row>
    <row r="170" spans="1:25" ht="21.75" customHeight="1">
      <c r="A170" s="117"/>
      <c r="B170" s="99"/>
      <c r="C170" s="102"/>
      <c r="D170" s="104"/>
      <c r="E170" s="102"/>
      <c r="F170" s="16" t="s">
        <v>13</v>
      </c>
      <c r="G170" s="26">
        <f>H170+I170+J170+K170+L170</f>
        <v>35920136.91</v>
      </c>
      <c r="H170" s="26">
        <f>4000000-H126-H106+334873.66+53210+571000.3+10000+159070+599000+565000-21070.83</f>
        <v>4977603.13</v>
      </c>
      <c r="I170" s="26">
        <f>7673601.18+600000+400000</f>
        <v>8673601.18</v>
      </c>
      <c r="J170" s="26">
        <f>525000+1263497+500000+3764124+1500000+500000+718810.2+624075.24</f>
        <v>9395506.44</v>
      </c>
      <c r="K170" s="26">
        <f>975565+1375565+1000000+500000+1713916.16</f>
        <v>5565046.16</v>
      </c>
      <c r="L170" s="26">
        <f>1975565+2375565+1457250+1000000+500000</f>
        <v>7308380</v>
      </c>
      <c r="M170" s="82"/>
      <c r="O170" s="3">
        <f>1759000+1400000+4507295+1195000</f>
        <v>8861295</v>
      </c>
      <c r="P170" s="3">
        <f>O170-N170</f>
        <v>8861295</v>
      </c>
      <c r="Y170" s="138"/>
    </row>
    <row r="171" spans="1:25" ht="21.75" customHeight="1">
      <c r="A171" s="117"/>
      <c r="B171" s="99"/>
      <c r="C171" s="102"/>
      <c r="D171" s="104"/>
      <c r="E171" s="102"/>
      <c r="F171" s="16" t="s">
        <v>14</v>
      </c>
      <c r="G171" s="26">
        <f>H171+I171+J171+K171+L171</f>
        <v>23201379.3</v>
      </c>
      <c r="H171" s="26">
        <f>3714220.8+5356572.34</f>
        <v>9070793.14</v>
      </c>
      <c r="I171" s="26">
        <v>14130586.16</v>
      </c>
      <c r="J171" s="26">
        <v>0</v>
      </c>
      <c r="K171" s="26">
        <v>0</v>
      </c>
      <c r="L171" s="26">
        <v>0</v>
      </c>
      <c r="M171" s="82"/>
      <c r="P171" s="3"/>
      <c r="Y171" s="138"/>
    </row>
    <row r="172" spans="1:25" ht="21.75" customHeight="1">
      <c r="A172" s="118"/>
      <c r="B172" s="100"/>
      <c r="C172" s="102"/>
      <c r="D172" s="105"/>
      <c r="E172" s="106"/>
      <c r="F172" s="16" t="s">
        <v>15</v>
      </c>
      <c r="G172" s="26">
        <f>H172+I172+J172+K172+L172</f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82"/>
      <c r="N172" s="14"/>
      <c r="Y172" s="138"/>
    </row>
    <row r="173" spans="1:25" ht="21.75" customHeight="1">
      <c r="A173" s="116" t="s">
        <v>57</v>
      </c>
      <c r="B173" s="98" t="s">
        <v>59</v>
      </c>
      <c r="C173" s="101" t="s">
        <v>125</v>
      </c>
      <c r="D173" s="135" t="s">
        <v>130</v>
      </c>
      <c r="E173" s="101" t="s">
        <v>106</v>
      </c>
      <c r="F173" s="16" t="s">
        <v>12</v>
      </c>
      <c r="G173" s="26">
        <f aca="true" t="shared" si="47" ref="G173:L173">G174+G175+G176</f>
        <v>6525000</v>
      </c>
      <c r="H173" s="26">
        <f t="shared" si="47"/>
        <v>2525000</v>
      </c>
      <c r="I173" s="26">
        <f t="shared" si="47"/>
        <v>2000000</v>
      </c>
      <c r="J173" s="26">
        <f t="shared" si="47"/>
        <v>0</v>
      </c>
      <c r="K173" s="26">
        <f t="shared" si="47"/>
        <v>1000000</v>
      </c>
      <c r="L173" s="26">
        <f t="shared" si="47"/>
        <v>1000000</v>
      </c>
      <c r="M173" s="82"/>
      <c r="N173" s="3"/>
      <c r="V173" s="3" t="e">
        <f>#REF!+#REF!+#REF!+#REF!</f>
        <v>#REF!</v>
      </c>
      <c r="Y173" s="138"/>
    </row>
    <row r="174" spans="1:25" ht="21.75" customHeight="1">
      <c r="A174" s="117"/>
      <c r="B174" s="99"/>
      <c r="C174" s="102"/>
      <c r="D174" s="136"/>
      <c r="E174" s="102"/>
      <c r="F174" s="16" t="s">
        <v>13</v>
      </c>
      <c r="G174" s="26">
        <f>H174+I174+J174+K174+L174</f>
        <v>4052500</v>
      </c>
      <c r="H174" s="26">
        <f>1000000+47250+5250</f>
        <v>1052500</v>
      </c>
      <c r="I174" s="26">
        <v>1000000</v>
      </c>
      <c r="J174" s="26">
        <v>0</v>
      </c>
      <c r="K174" s="26">
        <v>1000000</v>
      </c>
      <c r="L174" s="26">
        <v>1000000</v>
      </c>
      <c r="M174" s="82"/>
      <c r="Y174" s="138"/>
    </row>
    <row r="175" spans="1:25" ht="21.75" customHeight="1">
      <c r="A175" s="117"/>
      <c r="B175" s="99"/>
      <c r="C175" s="102"/>
      <c r="D175" s="136"/>
      <c r="E175" s="102"/>
      <c r="F175" s="16" t="s">
        <v>14</v>
      </c>
      <c r="G175" s="26">
        <f>H175+I175+J175+K175+L175</f>
        <v>2472500</v>
      </c>
      <c r="H175" s="26">
        <f>1000000+472500</f>
        <v>1472500</v>
      </c>
      <c r="I175" s="26">
        <v>1000000</v>
      </c>
      <c r="J175" s="26">
        <v>0</v>
      </c>
      <c r="K175" s="26">
        <v>0</v>
      </c>
      <c r="L175" s="26">
        <v>0</v>
      </c>
      <c r="M175" s="82"/>
      <c r="Y175" s="138"/>
    </row>
    <row r="176" spans="1:25" ht="21.75" customHeight="1">
      <c r="A176" s="118"/>
      <c r="B176" s="100"/>
      <c r="C176" s="102"/>
      <c r="D176" s="137"/>
      <c r="E176" s="106"/>
      <c r="F176" s="16" t="s">
        <v>15</v>
      </c>
      <c r="G176" s="26">
        <f>H176+I176+J176+K176+L176</f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82"/>
      <c r="Y176" s="138"/>
    </row>
    <row r="177" spans="1:25" ht="21.75" customHeight="1">
      <c r="A177" s="116" t="s">
        <v>58</v>
      </c>
      <c r="B177" s="98" t="s">
        <v>110</v>
      </c>
      <c r="C177" s="101" t="s">
        <v>125</v>
      </c>
      <c r="D177" s="103" t="s">
        <v>122</v>
      </c>
      <c r="E177" s="101" t="s">
        <v>106</v>
      </c>
      <c r="F177" s="16" t="s">
        <v>12</v>
      </c>
      <c r="G177" s="26">
        <f aca="true" t="shared" si="48" ref="G177:L177">G178+G179+G180</f>
        <v>12723773</v>
      </c>
      <c r="H177" s="26">
        <f t="shared" si="48"/>
        <v>3038075</v>
      </c>
      <c r="I177" s="26">
        <f t="shared" si="48"/>
        <v>2233000</v>
      </c>
      <c r="J177" s="26">
        <f t="shared" si="48"/>
        <v>2417566</v>
      </c>
      <c r="K177" s="26">
        <f t="shared" si="48"/>
        <v>2317566</v>
      </c>
      <c r="L177" s="26">
        <f t="shared" si="48"/>
        <v>2717566</v>
      </c>
      <c r="M177" s="82"/>
      <c r="Y177" s="138"/>
    </row>
    <row r="178" spans="1:25" ht="21.75" customHeight="1">
      <c r="A178" s="117"/>
      <c r="B178" s="99"/>
      <c r="C178" s="102"/>
      <c r="D178" s="104"/>
      <c r="E178" s="102"/>
      <c r="F178" s="16" t="s">
        <v>13</v>
      </c>
      <c r="G178" s="26">
        <f aca="true" t="shared" si="49" ref="G178:G200">H178+I178+J178+K178+L178</f>
        <v>12585698</v>
      </c>
      <c r="H178" s="26">
        <f>3200000-300000-62034+62034</f>
        <v>2900000</v>
      </c>
      <c r="I178" s="26">
        <f>1933000+300000</f>
        <v>2233000</v>
      </c>
      <c r="J178" s="26">
        <f>1127003+1186637+103926</f>
        <v>2417566</v>
      </c>
      <c r="K178" s="26">
        <f>1027003+1186637+103926</f>
        <v>2317566</v>
      </c>
      <c r="L178" s="26">
        <f>1427003+1186637+103926</f>
        <v>2717566</v>
      </c>
      <c r="M178" s="82"/>
      <c r="Y178" s="138"/>
    </row>
    <row r="179" spans="1:25" ht="21.75" customHeight="1">
      <c r="A179" s="117"/>
      <c r="B179" s="99"/>
      <c r="C179" s="102"/>
      <c r="D179" s="104"/>
      <c r="E179" s="102"/>
      <c r="F179" s="16" t="s">
        <v>14</v>
      </c>
      <c r="G179" s="26">
        <f t="shared" si="49"/>
        <v>138075</v>
      </c>
      <c r="H179" s="26">
        <v>138075</v>
      </c>
      <c r="I179" s="26">
        <v>0</v>
      </c>
      <c r="J179" s="26">
        <v>0</v>
      </c>
      <c r="K179" s="26">
        <v>0</v>
      </c>
      <c r="L179" s="26">
        <v>0</v>
      </c>
      <c r="M179" s="82"/>
      <c r="O179" s="3"/>
      <c r="Y179" s="138"/>
    </row>
    <row r="180" spans="1:25" ht="21.75" customHeight="1">
      <c r="A180" s="118"/>
      <c r="B180" s="100"/>
      <c r="C180" s="102"/>
      <c r="D180" s="105"/>
      <c r="E180" s="106"/>
      <c r="F180" s="16" t="s">
        <v>15</v>
      </c>
      <c r="G180" s="26">
        <f t="shared" si="49"/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82"/>
      <c r="O180" s="3"/>
      <c r="Y180" s="138"/>
    </row>
    <row r="181" spans="1:25" ht="21.75" customHeight="1">
      <c r="A181" s="57"/>
      <c r="B181" s="98" t="s">
        <v>98</v>
      </c>
      <c r="C181" s="101" t="s">
        <v>125</v>
      </c>
      <c r="D181" s="101"/>
      <c r="E181" s="101" t="s">
        <v>106</v>
      </c>
      <c r="F181" s="16" t="s">
        <v>12</v>
      </c>
      <c r="G181" s="26">
        <f aca="true" t="shared" si="50" ref="G181:L181">G182+G183+G184</f>
        <v>0</v>
      </c>
      <c r="H181" s="26">
        <f t="shared" si="50"/>
        <v>0</v>
      </c>
      <c r="I181" s="26">
        <f t="shared" si="50"/>
        <v>0</v>
      </c>
      <c r="J181" s="26">
        <f t="shared" si="50"/>
        <v>0</v>
      </c>
      <c r="K181" s="26">
        <f t="shared" si="50"/>
        <v>0</v>
      </c>
      <c r="L181" s="26">
        <f t="shared" si="50"/>
        <v>0</v>
      </c>
      <c r="M181" s="82"/>
      <c r="O181" s="3"/>
      <c r="Y181" s="15"/>
    </row>
    <row r="182" spans="1:25" ht="21.75" customHeight="1">
      <c r="A182" s="57"/>
      <c r="B182" s="99"/>
      <c r="C182" s="102"/>
      <c r="D182" s="102"/>
      <c r="E182" s="102"/>
      <c r="F182" s="16" t="s">
        <v>13</v>
      </c>
      <c r="G182" s="26">
        <f t="shared" si="49"/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82"/>
      <c r="O182" s="3"/>
      <c r="Y182" s="15"/>
    </row>
    <row r="183" spans="1:25" ht="21.75" customHeight="1">
      <c r="A183" s="59" t="s">
        <v>99</v>
      </c>
      <c r="B183" s="99"/>
      <c r="C183" s="102"/>
      <c r="D183" s="102"/>
      <c r="E183" s="102"/>
      <c r="F183" s="16" t="s">
        <v>14</v>
      </c>
      <c r="G183" s="26">
        <f t="shared" si="49"/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82"/>
      <c r="O183" s="3"/>
      <c r="Y183" s="15"/>
    </row>
    <row r="184" spans="1:25" ht="21.75" customHeight="1">
      <c r="A184" s="57"/>
      <c r="B184" s="100"/>
      <c r="C184" s="102"/>
      <c r="D184" s="106"/>
      <c r="E184" s="106"/>
      <c r="F184" s="16" t="s">
        <v>15</v>
      </c>
      <c r="G184" s="26">
        <f t="shared" si="49"/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82"/>
      <c r="O184" s="3"/>
      <c r="Y184" s="15"/>
    </row>
    <row r="185" spans="1:13" ht="21.75" customHeight="1">
      <c r="A185" s="116" t="s">
        <v>60</v>
      </c>
      <c r="B185" s="98" t="s">
        <v>61</v>
      </c>
      <c r="C185" s="101" t="s">
        <v>125</v>
      </c>
      <c r="D185" s="119" t="s">
        <v>140</v>
      </c>
      <c r="E185" s="101" t="s">
        <v>106</v>
      </c>
      <c r="F185" s="16" t="s">
        <v>12</v>
      </c>
      <c r="G185" s="26">
        <f aca="true" t="shared" si="51" ref="G185:L185">G186+G187+G188</f>
        <v>4825000</v>
      </c>
      <c r="H185" s="26">
        <f t="shared" si="51"/>
        <v>525000</v>
      </c>
      <c r="I185" s="26">
        <f t="shared" si="51"/>
        <v>500000</v>
      </c>
      <c r="J185" s="26">
        <f t="shared" si="51"/>
        <v>1100000</v>
      </c>
      <c r="K185" s="26">
        <f t="shared" si="51"/>
        <v>1700000</v>
      </c>
      <c r="L185" s="26">
        <f t="shared" si="51"/>
        <v>1000000</v>
      </c>
      <c r="M185" s="82"/>
    </row>
    <row r="186" spans="1:15" ht="21.75" customHeight="1">
      <c r="A186" s="117"/>
      <c r="B186" s="99"/>
      <c r="C186" s="102"/>
      <c r="D186" s="120"/>
      <c r="E186" s="102"/>
      <c r="F186" s="16" t="s">
        <v>13</v>
      </c>
      <c r="G186" s="26">
        <f t="shared" si="49"/>
        <v>4825000</v>
      </c>
      <c r="H186" s="26">
        <f>700000+300000-475000</f>
        <v>525000</v>
      </c>
      <c r="I186" s="26">
        <v>500000</v>
      </c>
      <c r="J186" s="26">
        <f>500000+600000</f>
        <v>1100000</v>
      </c>
      <c r="K186" s="26">
        <f>700000+300000+700000</f>
        <v>1700000</v>
      </c>
      <c r="L186" s="26">
        <f>700000+300000</f>
        <v>1000000</v>
      </c>
      <c r="M186" s="82"/>
      <c r="O186" s="2">
        <v>854209197.4</v>
      </c>
    </row>
    <row r="187" spans="1:15" ht="21.75" customHeight="1">
      <c r="A187" s="117"/>
      <c r="B187" s="99"/>
      <c r="C187" s="102"/>
      <c r="D187" s="120"/>
      <c r="E187" s="102"/>
      <c r="F187" s="16" t="s">
        <v>14</v>
      </c>
      <c r="G187" s="26">
        <f t="shared" si="49"/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82"/>
      <c r="O187" s="2">
        <v>852492090</v>
      </c>
    </row>
    <row r="188" spans="1:15" ht="21.75" customHeight="1">
      <c r="A188" s="118"/>
      <c r="B188" s="100"/>
      <c r="C188" s="102"/>
      <c r="D188" s="121"/>
      <c r="E188" s="106"/>
      <c r="F188" s="16" t="s">
        <v>15</v>
      </c>
      <c r="G188" s="26">
        <f t="shared" si="49"/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82"/>
      <c r="O188" s="2">
        <f>O186-O187</f>
        <v>1717107.3999999762</v>
      </c>
    </row>
    <row r="189" spans="1:13" ht="21.75" customHeight="1">
      <c r="A189" s="57"/>
      <c r="B189" s="98" t="s">
        <v>97</v>
      </c>
      <c r="C189" s="101" t="s">
        <v>125</v>
      </c>
      <c r="D189" s="101"/>
      <c r="E189" s="101" t="s">
        <v>106</v>
      </c>
      <c r="F189" s="16" t="s">
        <v>12</v>
      </c>
      <c r="G189" s="26">
        <f aca="true" t="shared" si="52" ref="G189:L189">G190+G191+G192</f>
        <v>0</v>
      </c>
      <c r="H189" s="26">
        <f t="shared" si="52"/>
        <v>0</v>
      </c>
      <c r="I189" s="26">
        <f t="shared" si="52"/>
        <v>0</v>
      </c>
      <c r="J189" s="26">
        <f t="shared" si="52"/>
        <v>0</v>
      </c>
      <c r="K189" s="26">
        <f t="shared" si="52"/>
        <v>0</v>
      </c>
      <c r="L189" s="26">
        <f t="shared" si="52"/>
        <v>0</v>
      </c>
      <c r="M189" s="82"/>
    </row>
    <row r="190" spans="1:13" ht="21.75" customHeight="1">
      <c r="A190" s="59" t="s">
        <v>100</v>
      </c>
      <c r="B190" s="99"/>
      <c r="C190" s="102"/>
      <c r="D190" s="102"/>
      <c r="E190" s="102"/>
      <c r="F190" s="16" t="s">
        <v>13</v>
      </c>
      <c r="G190" s="26">
        <f t="shared" si="49"/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82"/>
    </row>
    <row r="191" spans="1:13" ht="21.75" customHeight="1">
      <c r="A191" s="57"/>
      <c r="B191" s="99"/>
      <c r="C191" s="102"/>
      <c r="D191" s="102"/>
      <c r="E191" s="102"/>
      <c r="F191" s="16" t="s">
        <v>14</v>
      </c>
      <c r="G191" s="26">
        <f t="shared" si="49"/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82"/>
    </row>
    <row r="192" spans="1:13" ht="21.75" customHeight="1">
      <c r="A192" s="57"/>
      <c r="B192" s="100"/>
      <c r="C192" s="102"/>
      <c r="D192" s="106"/>
      <c r="E192" s="106"/>
      <c r="F192" s="16" t="s">
        <v>15</v>
      </c>
      <c r="G192" s="26">
        <f t="shared" si="49"/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82"/>
    </row>
    <row r="193" spans="1:13" ht="21.75" customHeight="1">
      <c r="A193" s="116" t="s">
        <v>101</v>
      </c>
      <c r="B193" s="98" t="s">
        <v>81</v>
      </c>
      <c r="C193" s="101" t="s">
        <v>125</v>
      </c>
      <c r="D193" s="101"/>
      <c r="E193" s="101" t="s">
        <v>106</v>
      </c>
      <c r="F193" s="16" t="s">
        <v>12</v>
      </c>
      <c r="G193" s="26">
        <f aca="true" t="shared" si="53" ref="G193:L193">G194+G195+G196</f>
        <v>0</v>
      </c>
      <c r="H193" s="26">
        <f t="shared" si="53"/>
        <v>0</v>
      </c>
      <c r="I193" s="26">
        <f t="shared" si="53"/>
        <v>0</v>
      </c>
      <c r="J193" s="26">
        <f t="shared" si="53"/>
        <v>0</v>
      </c>
      <c r="K193" s="26">
        <f t="shared" si="53"/>
        <v>0</v>
      </c>
      <c r="L193" s="26">
        <f t="shared" si="53"/>
        <v>0</v>
      </c>
      <c r="M193" s="82"/>
    </row>
    <row r="194" spans="1:13" ht="21.75" customHeight="1">
      <c r="A194" s="117"/>
      <c r="B194" s="99"/>
      <c r="C194" s="102"/>
      <c r="D194" s="102"/>
      <c r="E194" s="102"/>
      <c r="F194" s="16" t="s">
        <v>13</v>
      </c>
      <c r="G194" s="26">
        <f>H194+I194+J194+K194+L194</f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82"/>
    </row>
    <row r="195" spans="1:13" ht="21.75" customHeight="1">
      <c r="A195" s="117"/>
      <c r="B195" s="99"/>
      <c r="C195" s="102"/>
      <c r="D195" s="102"/>
      <c r="E195" s="102"/>
      <c r="F195" s="16" t="s">
        <v>14</v>
      </c>
      <c r="G195" s="26">
        <f>H195+I195+J195+K195+L195</f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82"/>
    </row>
    <row r="196" spans="1:13" ht="21.75" customHeight="1">
      <c r="A196" s="118"/>
      <c r="B196" s="100"/>
      <c r="C196" s="102"/>
      <c r="D196" s="106"/>
      <c r="E196" s="106"/>
      <c r="F196" s="16" t="s">
        <v>15</v>
      </c>
      <c r="G196" s="26">
        <f>H196+I196+J196+K196+L196</f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82"/>
    </row>
    <row r="197" spans="1:13" s="12" customFormat="1" ht="21.75" customHeight="1">
      <c r="A197" s="116" t="s">
        <v>154</v>
      </c>
      <c r="B197" s="98" t="s">
        <v>155</v>
      </c>
      <c r="C197" s="101" t="s">
        <v>125</v>
      </c>
      <c r="D197" s="131" t="s">
        <v>156</v>
      </c>
      <c r="E197" s="101" t="s">
        <v>106</v>
      </c>
      <c r="F197" s="16" t="s">
        <v>12</v>
      </c>
      <c r="G197" s="26">
        <f aca="true" t="shared" si="54" ref="G197:L197">G198+G199+G200</f>
        <v>1316716</v>
      </c>
      <c r="H197" s="26">
        <f t="shared" si="54"/>
        <v>1316716</v>
      </c>
      <c r="I197" s="26">
        <f t="shared" si="54"/>
        <v>0</v>
      </c>
      <c r="J197" s="26">
        <f t="shared" si="54"/>
        <v>0</v>
      </c>
      <c r="K197" s="26">
        <f t="shared" si="54"/>
        <v>0</v>
      </c>
      <c r="L197" s="26">
        <f t="shared" si="54"/>
        <v>0</v>
      </c>
      <c r="M197" s="82"/>
    </row>
    <row r="198" spans="1:13" s="12" customFormat="1" ht="21.75" customHeight="1">
      <c r="A198" s="117"/>
      <c r="B198" s="99"/>
      <c r="C198" s="102"/>
      <c r="D198" s="132"/>
      <c r="E198" s="102"/>
      <c r="F198" s="16" t="s">
        <v>13</v>
      </c>
      <c r="G198" s="26">
        <f t="shared" si="49"/>
        <v>456237</v>
      </c>
      <c r="H198" s="26">
        <f>368777+87460</f>
        <v>456237</v>
      </c>
      <c r="I198" s="26">
        <v>0</v>
      </c>
      <c r="J198" s="26">
        <v>0</v>
      </c>
      <c r="K198" s="26">
        <v>0</v>
      </c>
      <c r="L198" s="26">
        <v>0</v>
      </c>
      <c r="M198" s="82"/>
    </row>
    <row r="199" spans="1:13" s="12" customFormat="1" ht="21.75" customHeight="1">
      <c r="A199" s="117"/>
      <c r="B199" s="99"/>
      <c r="C199" s="102"/>
      <c r="D199" s="132"/>
      <c r="E199" s="102"/>
      <c r="F199" s="16" t="s">
        <v>14</v>
      </c>
      <c r="G199" s="26">
        <f t="shared" si="49"/>
        <v>860479</v>
      </c>
      <c r="H199" s="26">
        <v>860479</v>
      </c>
      <c r="I199" s="26">
        <v>0</v>
      </c>
      <c r="J199" s="26">
        <v>0</v>
      </c>
      <c r="K199" s="26">
        <v>0</v>
      </c>
      <c r="L199" s="26">
        <v>0</v>
      </c>
      <c r="M199" s="82"/>
    </row>
    <row r="200" spans="1:13" s="12" customFormat="1" ht="21.75" customHeight="1">
      <c r="A200" s="118"/>
      <c r="B200" s="100"/>
      <c r="C200" s="102"/>
      <c r="D200" s="133"/>
      <c r="E200" s="106"/>
      <c r="F200" s="16" t="s">
        <v>15</v>
      </c>
      <c r="G200" s="26">
        <f t="shared" si="49"/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122"/>
    </row>
    <row r="201" spans="1:13" ht="21.75" customHeight="1">
      <c r="A201" s="107" t="s">
        <v>62</v>
      </c>
      <c r="B201" s="110" t="s">
        <v>148</v>
      </c>
      <c r="C201" s="113" t="s">
        <v>125</v>
      </c>
      <c r="D201" s="134" t="s">
        <v>142</v>
      </c>
      <c r="E201" s="113" t="s">
        <v>106</v>
      </c>
      <c r="F201" s="39" t="s">
        <v>12</v>
      </c>
      <c r="G201" s="40">
        <f aca="true" t="shared" si="55" ref="G201:L201">G202+G203+G204</f>
        <v>25486512.549999997</v>
      </c>
      <c r="H201" s="40">
        <f t="shared" si="55"/>
        <v>1942784.25</v>
      </c>
      <c r="I201" s="40">
        <f t="shared" si="55"/>
        <v>5935490.64</v>
      </c>
      <c r="J201" s="40">
        <f t="shared" si="55"/>
        <v>7869412.56</v>
      </c>
      <c r="K201" s="40">
        <f t="shared" si="55"/>
        <v>4869412.54</v>
      </c>
      <c r="L201" s="40">
        <f t="shared" si="55"/>
        <v>4869412.56</v>
      </c>
      <c r="M201" s="126"/>
    </row>
    <row r="202" spans="1:13" ht="21.75" customHeight="1">
      <c r="A202" s="108"/>
      <c r="B202" s="111"/>
      <c r="C202" s="114"/>
      <c r="D202" s="114"/>
      <c r="E202" s="114"/>
      <c r="F202" s="39" t="s">
        <v>13</v>
      </c>
      <c r="G202" s="40">
        <f>H202+I202+J202+K202+L202</f>
        <v>6965314.18</v>
      </c>
      <c r="H202" s="40">
        <f aca="true" t="shared" si="56" ref="H202:I204">H206+H210+H214+H222+H218</f>
        <v>1742784.25</v>
      </c>
      <c r="I202" s="40">
        <f>I206+I210+I214+I222+I218</f>
        <v>722529.9299999999</v>
      </c>
      <c r="J202" s="40">
        <f aca="true" t="shared" si="57" ref="J202:L204">J206+J210+J214+J222+J218</f>
        <v>3500000</v>
      </c>
      <c r="K202" s="40">
        <f t="shared" si="57"/>
        <v>500000</v>
      </c>
      <c r="L202" s="40">
        <f t="shared" si="57"/>
        <v>500000</v>
      </c>
      <c r="M202" s="127"/>
    </row>
    <row r="203" spans="1:13" ht="21.75" customHeight="1">
      <c r="A203" s="108"/>
      <c r="B203" s="111"/>
      <c r="C203" s="114"/>
      <c r="D203" s="114"/>
      <c r="E203" s="114"/>
      <c r="F203" s="39" t="s">
        <v>14</v>
      </c>
      <c r="G203" s="40">
        <f>H203+I203+J203+K203+L203</f>
        <v>18521198.369999997</v>
      </c>
      <c r="H203" s="40">
        <f t="shared" si="56"/>
        <v>200000</v>
      </c>
      <c r="I203" s="40">
        <f t="shared" si="56"/>
        <v>5212960.71</v>
      </c>
      <c r="J203" s="40">
        <f t="shared" si="57"/>
        <v>4369412.56</v>
      </c>
      <c r="K203" s="40">
        <f t="shared" si="57"/>
        <v>4369412.54</v>
      </c>
      <c r="L203" s="40">
        <f t="shared" si="57"/>
        <v>4369412.56</v>
      </c>
      <c r="M203" s="127"/>
    </row>
    <row r="204" spans="1:13" ht="21.75" customHeight="1">
      <c r="A204" s="109"/>
      <c r="B204" s="112"/>
      <c r="C204" s="115"/>
      <c r="D204" s="115"/>
      <c r="E204" s="115"/>
      <c r="F204" s="39" t="s">
        <v>15</v>
      </c>
      <c r="G204" s="40">
        <f>H204+I204+J204+K204+L204</f>
        <v>0</v>
      </c>
      <c r="H204" s="40">
        <f t="shared" si="56"/>
        <v>0</v>
      </c>
      <c r="I204" s="40">
        <f t="shared" si="56"/>
        <v>0</v>
      </c>
      <c r="J204" s="40">
        <f t="shared" si="57"/>
        <v>0</v>
      </c>
      <c r="K204" s="40">
        <f t="shared" si="57"/>
        <v>0</v>
      </c>
      <c r="L204" s="40">
        <f t="shared" si="57"/>
        <v>0</v>
      </c>
      <c r="M204" s="128"/>
    </row>
    <row r="205" spans="1:13" ht="21.75" customHeight="1">
      <c r="A205" s="116" t="s">
        <v>63</v>
      </c>
      <c r="B205" s="98" t="s">
        <v>64</v>
      </c>
      <c r="C205" s="101" t="s">
        <v>125</v>
      </c>
      <c r="D205" s="103" t="s">
        <v>128</v>
      </c>
      <c r="E205" s="101" t="s">
        <v>106</v>
      </c>
      <c r="F205" s="16" t="s">
        <v>12</v>
      </c>
      <c r="G205" s="26">
        <f aca="true" t="shared" si="58" ref="G205:L205">G206+G207+G208</f>
        <v>4637340.79</v>
      </c>
      <c r="H205" s="26">
        <f t="shared" si="58"/>
        <v>1426776.79</v>
      </c>
      <c r="I205" s="26">
        <f t="shared" si="58"/>
        <v>0</v>
      </c>
      <c r="J205" s="26">
        <f t="shared" si="58"/>
        <v>3070188</v>
      </c>
      <c r="K205" s="26">
        <f t="shared" si="58"/>
        <v>70188</v>
      </c>
      <c r="L205" s="26">
        <f t="shared" si="58"/>
        <v>70188</v>
      </c>
      <c r="M205" s="129" t="s">
        <v>177</v>
      </c>
    </row>
    <row r="206" spans="1:13" ht="21.75" customHeight="1">
      <c r="A206" s="117"/>
      <c r="B206" s="99"/>
      <c r="C206" s="102"/>
      <c r="D206" s="104"/>
      <c r="E206" s="102"/>
      <c r="F206" s="16" t="s">
        <v>13</v>
      </c>
      <c r="G206" s="26">
        <f>H206+I206+J206+K206+L206</f>
        <v>4637340.79</v>
      </c>
      <c r="H206" s="26">
        <f>76776.79+1000000+350000</f>
        <v>1426776.79</v>
      </c>
      <c r="I206" s="26">
        <v>0</v>
      </c>
      <c r="J206" s="26">
        <f>70188+3000000</f>
        <v>3070188</v>
      </c>
      <c r="K206" s="26">
        <v>70188</v>
      </c>
      <c r="L206" s="26">
        <v>70188</v>
      </c>
      <c r="M206" s="130"/>
    </row>
    <row r="207" spans="1:13" ht="21.75" customHeight="1">
      <c r="A207" s="117"/>
      <c r="B207" s="99"/>
      <c r="C207" s="102"/>
      <c r="D207" s="104"/>
      <c r="E207" s="102"/>
      <c r="F207" s="16" t="s">
        <v>14</v>
      </c>
      <c r="G207" s="26">
        <f>H207+I207+J207+K207+L207</f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130"/>
    </row>
    <row r="208" spans="1:13" ht="21.75" customHeight="1">
      <c r="A208" s="118"/>
      <c r="B208" s="100"/>
      <c r="C208" s="102"/>
      <c r="D208" s="105"/>
      <c r="E208" s="106"/>
      <c r="F208" s="16" t="s">
        <v>15</v>
      </c>
      <c r="G208" s="26">
        <f>H208+I208+J208+K208+L208</f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130"/>
    </row>
    <row r="209" spans="1:13" ht="21.75" customHeight="1">
      <c r="A209" s="116" t="s">
        <v>65</v>
      </c>
      <c r="B209" s="98" t="s">
        <v>66</v>
      </c>
      <c r="C209" s="101" t="s">
        <v>125</v>
      </c>
      <c r="D209" s="103" t="s">
        <v>142</v>
      </c>
      <c r="E209" s="101" t="s">
        <v>106</v>
      </c>
      <c r="F209" s="16" t="s">
        <v>12</v>
      </c>
      <c r="G209" s="26">
        <f aca="true" t="shared" si="59" ref="G209:L209">G210+G211+G212</f>
        <v>1266609.3900000001</v>
      </c>
      <c r="H209" s="26">
        <f t="shared" si="59"/>
        <v>199970.46</v>
      </c>
      <c r="I209" s="26">
        <f t="shared" si="59"/>
        <v>422529.93</v>
      </c>
      <c r="J209" s="26">
        <f t="shared" si="59"/>
        <v>214703</v>
      </c>
      <c r="K209" s="26">
        <f t="shared" si="59"/>
        <v>214703</v>
      </c>
      <c r="L209" s="26">
        <f t="shared" si="59"/>
        <v>214703</v>
      </c>
      <c r="M209" s="130"/>
    </row>
    <row r="210" spans="1:13" ht="21.75" customHeight="1">
      <c r="A210" s="117"/>
      <c r="B210" s="99"/>
      <c r="C210" s="102"/>
      <c r="D210" s="104"/>
      <c r="E210" s="102"/>
      <c r="F210" s="16" t="s">
        <v>13</v>
      </c>
      <c r="G210" s="26">
        <f>H210+I210+J210+K210+L210</f>
        <v>1266609.3900000001</v>
      </c>
      <c r="H210" s="26">
        <f>190170.46+9800</f>
        <v>199970.46</v>
      </c>
      <c r="I210" s="26">
        <v>422529.93</v>
      </c>
      <c r="J210" s="26">
        <v>214703</v>
      </c>
      <c r="K210" s="26">
        <v>214703</v>
      </c>
      <c r="L210" s="26">
        <v>214703</v>
      </c>
      <c r="M210" s="130"/>
    </row>
    <row r="211" spans="1:13" ht="21.75" customHeight="1">
      <c r="A211" s="117"/>
      <c r="B211" s="99"/>
      <c r="C211" s="102"/>
      <c r="D211" s="104"/>
      <c r="E211" s="102"/>
      <c r="F211" s="16" t="s">
        <v>14</v>
      </c>
      <c r="G211" s="26">
        <f>H211+I211+J211+K211+L211</f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130"/>
    </row>
    <row r="212" spans="1:13" ht="21.75" customHeight="1">
      <c r="A212" s="118"/>
      <c r="B212" s="100"/>
      <c r="C212" s="102"/>
      <c r="D212" s="105"/>
      <c r="E212" s="106"/>
      <c r="F212" s="16" t="s">
        <v>15</v>
      </c>
      <c r="G212" s="26">
        <f>H212+I212+J212+K212+L212</f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130"/>
    </row>
    <row r="213" spans="1:13" ht="21.75" customHeight="1">
      <c r="A213" s="116" t="s">
        <v>67</v>
      </c>
      <c r="B213" s="98" t="s">
        <v>109</v>
      </c>
      <c r="C213" s="101" t="s">
        <v>125</v>
      </c>
      <c r="D213" s="101"/>
      <c r="E213" s="101" t="s">
        <v>106</v>
      </c>
      <c r="F213" s="16" t="s">
        <v>12</v>
      </c>
      <c r="G213" s="26">
        <f aca="true" t="shared" si="60" ref="G213:L213">G214+G215+G216</f>
        <v>0</v>
      </c>
      <c r="H213" s="26">
        <f t="shared" si="60"/>
        <v>0</v>
      </c>
      <c r="I213" s="26">
        <f t="shared" si="60"/>
        <v>0</v>
      </c>
      <c r="J213" s="26">
        <f t="shared" si="60"/>
        <v>0</v>
      </c>
      <c r="K213" s="26">
        <f t="shared" si="60"/>
        <v>0</v>
      </c>
      <c r="L213" s="26">
        <f t="shared" si="60"/>
        <v>0</v>
      </c>
      <c r="M213" s="130"/>
    </row>
    <row r="214" spans="1:13" ht="21.75" customHeight="1">
      <c r="A214" s="117"/>
      <c r="B214" s="99"/>
      <c r="C214" s="102"/>
      <c r="D214" s="102"/>
      <c r="E214" s="102"/>
      <c r="F214" s="16" t="s">
        <v>13</v>
      </c>
      <c r="G214" s="26">
        <f>H214+I214+J214+K214+L214</f>
        <v>0</v>
      </c>
      <c r="H214" s="26">
        <v>0</v>
      </c>
      <c r="I214" s="26">
        <v>0</v>
      </c>
      <c r="J214" s="26">
        <v>0</v>
      </c>
      <c r="K214" s="26"/>
      <c r="L214" s="26">
        <v>0</v>
      </c>
      <c r="M214" s="130"/>
    </row>
    <row r="215" spans="1:13" ht="21.75" customHeight="1">
      <c r="A215" s="117"/>
      <c r="B215" s="99"/>
      <c r="C215" s="102"/>
      <c r="D215" s="102"/>
      <c r="E215" s="102"/>
      <c r="F215" s="16" t="s">
        <v>14</v>
      </c>
      <c r="G215" s="26">
        <f>H215+I215+J215+K215+L215</f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130"/>
    </row>
    <row r="216" spans="1:13" ht="21.75" customHeight="1">
      <c r="A216" s="118"/>
      <c r="B216" s="100"/>
      <c r="C216" s="102"/>
      <c r="D216" s="106"/>
      <c r="E216" s="106"/>
      <c r="F216" s="16" t="s">
        <v>15</v>
      </c>
      <c r="G216" s="26">
        <f>H216+I216+J216+K216+L216</f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130"/>
    </row>
    <row r="217" spans="1:13" ht="21.75" customHeight="1">
      <c r="A217" s="57"/>
      <c r="B217" s="98" t="s">
        <v>104</v>
      </c>
      <c r="C217" s="101" t="s">
        <v>125</v>
      </c>
      <c r="D217" s="103" t="s">
        <v>127</v>
      </c>
      <c r="E217" s="101" t="s">
        <v>106</v>
      </c>
      <c r="F217" s="16" t="s">
        <v>12</v>
      </c>
      <c r="G217" s="26">
        <f aca="true" t="shared" si="61" ref="G217:L217">G218+G219+G220</f>
        <v>1351364</v>
      </c>
      <c r="H217" s="26">
        <f t="shared" si="61"/>
        <v>316037</v>
      </c>
      <c r="I217" s="26">
        <f t="shared" si="61"/>
        <v>390000</v>
      </c>
      <c r="J217" s="26">
        <f t="shared" si="61"/>
        <v>215109</v>
      </c>
      <c r="K217" s="26">
        <f t="shared" si="61"/>
        <v>215109</v>
      </c>
      <c r="L217" s="26">
        <f t="shared" si="61"/>
        <v>215109</v>
      </c>
      <c r="M217" s="130"/>
    </row>
    <row r="218" spans="1:13" ht="21.75" customHeight="1">
      <c r="A218" s="59" t="s">
        <v>102</v>
      </c>
      <c r="B218" s="99"/>
      <c r="C218" s="102"/>
      <c r="D218" s="104"/>
      <c r="E218" s="102"/>
      <c r="F218" s="16" t="s">
        <v>13</v>
      </c>
      <c r="G218" s="26">
        <f>H218+I218+J218+K218+L218</f>
        <v>861364</v>
      </c>
      <c r="H218" s="26">
        <v>116037</v>
      </c>
      <c r="I218" s="26">
        <f>157703.92-57703.92</f>
        <v>100000.00000000001</v>
      </c>
      <c r="J218" s="26">
        <v>215109</v>
      </c>
      <c r="K218" s="26">
        <v>215109</v>
      </c>
      <c r="L218" s="26">
        <v>215109</v>
      </c>
      <c r="M218" s="130"/>
    </row>
    <row r="219" spans="1:13" ht="21.75" customHeight="1">
      <c r="A219" s="57"/>
      <c r="B219" s="99"/>
      <c r="C219" s="102"/>
      <c r="D219" s="104"/>
      <c r="E219" s="102"/>
      <c r="F219" s="16" t="s">
        <v>14</v>
      </c>
      <c r="G219" s="26">
        <f>H219+I219+J219+K219+L219</f>
        <v>490000</v>
      </c>
      <c r="H219" s="26">
        <v>200000</v>
      </c>
      <c r="I219" s="26">
        <v>290000</v>
      </c>
      <c r="J219" s="26">
        <v>0</v>
      </c>
      <c r="K219" s="26">
        <v>0</v>
      </c>
      <c r="L219" s="26">
        <v>0</v>
      </c>
      <c r="M219" s="130"/>
    </row>
    <row r="220" spans="1:13" ht="21.75" customHeight="1">
      <c r="A220" s="57"/>
      <c r="B220" s="100"/>
      <c r="C220" s="102"/>
      <c r="D220" s="105"/>
      <c r="E220" s="106"/>
      <c r="F220" s="16" t="s">
        <v>15</v>
      </c>
      <c r="G220" s="26">
        <f>H220+I220+J220+K220+L220</f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130"/>
    </row>
    <row r="221" spans="1:13" ht="21.75" customHeight="1">
      <c r="A221" s="116" t="s">
        <v>103</v>
      </c>
      <c r="B221" s="98" t="s">
        <v>78</v>
      </c>
      <c r="C221" s="101" t="s">
        <v>125</v>
      </c>
      <c r="D221" s="103" t="s">
        <v>141</v>
      </c>
      <c r="E221" s="101" t="s">
        <v>106</v>
      </c>
      <c r="F221" s="16" t="s">
        <v>12</v>
      </c>
      <c r="G221" s="26">
        <f aca="true" t="shared" si="62" ref="G221:L221">G222+G223+G224</f>
        <v>18231198.369999997</v>
      </c>
      <c r="H221" s="26">
        <f t="shared" si="62"/>
        <v>0</v>
      </c>
      <c r="I221" s="26">
        <f t="shared" si="62"/>
        <v>5122960.71</v>
      </c>
      <c r="J221" s="26">
        <f t="shared" si="62"/>
        <v>4369412.56</v>
      </c>
      <c r="K221" s="26">
        <f t="shared" si="62"/>
        <v>4369412.54</v>
      </c>
      <c r="L221" s="26">
        <f t="shared" si="62"/>
        <v>4369412.56</v>
      </c>
      <c r="M221" s="130"/>
    </row>
    <row r="222" spans="1:13" ht="21.75" customHeight="1">
      <c r="A222" s="117"/>
      <c r="B222" s="99"/>
      <c r="C222" s="102"/>
      <c r="D222" s="104"/>
      <c r="E222" s="102"/>
      <c r="F222" s="16" t="s">
        <v>13</v>
      </c>
      <c r="G222" s="26">
        <f>H222+I222+J222+K222+L222</f>
        <v>200000</v>
      </c>
      <c r="H222" s="26">
        <v>0</v>
      </c>
      <c r="I222" s="26">
        <f>200000+572400-572400</f>
        <v>200000</v>
      </c>
      <c r="J222" s="26">
        <v>0</v>
      </c>
      <c r="K222" s="26">
        <v>0</v>
      </c>
      <c r="L222" s="26">
        <v>0</v>
      </c>
      <c r="M222" s="130"/>
    </row>
    <row r="223" spans="1:13" ht="21.75" customHeight="1">
      <c r="A223" s="117"/>
      <c r="B223" s="99"/>
      <c r="C223" s="102"/>
      <c r="D223" s="104"/>
      <c r="E223" s="102"/>
      <c r="F223" s="16" t="s">
        <v>14</v>
      </c>
      <c r="G223" s="26">
        <f>H223+I223+J223+K223+L223</f>
        <v>18031198.369999997</v>
      </c>
      <c r="H223" s="26">
        <v>0</v>
      </c>
      <c r="I223" s="26">
        <v>4922960.71</v>
      </c>
      <c r="J223" s="26">
        <v>4369412.56</v>
      </c>
      <c r="K223" s="26">
        <v>4369412.54</v>
      </c>
      <c r="L223" s="26">
        <v>4369412.56</v>
      </c>
      <c r="M223" s="130"/>
    </row>
    <row r="224" spans="1:13" ht="21.75" customHeight="1">
      <c r="A224" s="118"/>
      <c r="B224" s="100"/>
      <c r="C224" s="102"/>
      <c r="D224" s="105"/>
      <c r="E224" s="106"/>
      <c r="F224" s="16" t="s">
        <v>15</v>
      </c>
      <c r="G224" s="26">
        <f>H224+I224+J224+K224+L224</f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130"/>
    </row>
    <row r="225" spans="1:13" ht="21.75" customHeight="1">
      <c r="A225" s="107" t="s">
        <v>68</v>
      </c>
      <c r="B225" s="110" t="s">
        <v>149</v>
      </c>
      <c r="C225" s="113" t="s">
        <v>125</v>
      </c>
      <c r="D225" s="123" t="s">
        <v>126</v>
      </c>
      <c r="E225" s="113" t="s">
        <v>106</v>
      </c>
      <c r="F225" s="39" t="s">
        <v>12</v>
      </c>
      <c r="G225" s="40">
        <f aca="true" t="shared" si="63" ref="G225:L225">G226+G227+G228</f>
        <v>2828000</v>
      </c>
      <c r="H225" s="40">
        <f t="shared" si="63"/>
        <v>600000</v>
      </c>
      <c r="I225" s="40">
        <f t="shared" si="63"/>
        <v>557000</v>
      </c>
      <c r="J225" s="40">
        <f t="shared" si="63"/>
        <v>557000</v>
      </c>
      <c r="K225" s="40">
        <f t="shared" si="63"/>
        <v>557000</v>
      </c>
      <c r="L225" s="40">
        <f t="shared" si="63"/>
        <v>557000</v>
      </c>
      <c r="M225" s="126"/>
    </row>
    <row r="226" spans="1:13" ht="21.75" customHeight="1">
      <c r="A226" s="108"/>
      <c r="B226" s="111"/>
      <c r="C226" s="114"/>
      <c r="D226" s="124"/>
      <c r="E226" s="114"/>
      <c r="F226" s="39" t="s">
        <v>13</v>
      </c>
      <c r="G226" s="40">
        <f>H226+I226+J226+K226+L226</f>
        <v>2828000</v>
      </c>
      <c r="H226" s="40">
        <f>H230+H234+H246+H250+H254+H237+H241</f>
        <v>600000</v>
      </c>
      <c r="I226" s="40">
        <f>I230+I234+I246+I250+I254+I237+I241</f>
        <v>557000</v>
      </c>
      <c r="J226" s="40">
        <f>J230+J234+J246+J250+J254+J237+J241</f>
        <v>557000</v>
      </c>
      <c r="K226" s="40">
        <f>K230+K234+K246+K250+K254+K237+K241</f>
        <v>557000</v>
      </c>
      <c r="L226" s="40">
        <f>L230+L234+L246+L250+L254+L237+L241</f>
        <v>557000</v>
      </c>
      <c r="M226" s="127"/>
    </row>
    <row r="227" spans="1:13" ht="21.75" customHeight="1">
      <c r="A227" s="108"/>
      <c r="B227" s="111"/>
      <c r="C227" s="114"/>
      <c r="D227" s="124"/>
      <c r="E227" s="114"/>
      <c r="F227" s="39" t="s">
        <v>14</v>
      </c>
      <c r="G227" s="40">
        <f>H227+I227+J227+K227+L227</f>
        <v>0</v>
      </c>
      <c r="H227" s="40">
        <f aca="true" t="shared" si="64" ref="H227:L228">H231+H235+H247+H251+H87+H255</f>
        <v>0</v>
      </c>
      <c r="I227" s="40">
        <f t="shared" si="64"/>
        <v>0</v>
      </c>
      <c r="J227" s="40">
        <f t="shared" si="64"/>
        <v>0</v>
      </c>
      <c r="K227" s="40">
        <f t="shared" si="64"/>
        <v>0</v>
      </c>
      <c r="L227" s="40">
        <f t="shared" si="64"/>
        <v>0</v>
      </c>
      <c r="M227" s="127"/>
    </row>
    <row r="228" spans="1:13" ht="21.75" customHeight="1">
      <c r="A228" s="109"/>
      <c r="B228" s="112"/>
      <c r="C228" s="115"/>
      <c r="D228" s="125"/>
      <c r="E228" s="115"/>
      <c r="F228" s="39" t="s">
        <v>15</v>
      </c>
      <c r="G228" s="40">
        <f>H228+I228+J228+K228+L228</f>
        <v>0</v>
      </c>
      <c r="H228" s="40">
        <f t="shared" si="64"/>
        <v>0</v>
      </c>
      <c r="I228" s="40">
        <f t="shared" si="64"/>
        <v>0</v>
      </c>
      <c r="J228" s="40">
        <f t="shared" si="64"/>
        <v>0</v>
      </c>
      <c r="K228" s="40">
        <f t="shared" si="64"/>
        <v>0</v>
      </c>
      <c r="L228" s="40">
        <f t="shared" si="64"/>
        <v>0</v>
      </c>
      <c r="M228" s="128"/>
    </row>
    <row r="229" spans="1:13" ht="21.75" customHeight="1">
      <c r="A229" s="116" t="s">
        <v>69</v>
      </c>
      <c r="B229" s="98" t="s">
        <v>70</v>
      </c>
      <c r="C229" s="101" t="s">
        <v>125</v>
      </c>
      <c r="D229" s="101"/>
      <c r="E229" s="101" t="s">
        <v>106</v>
      </c>
      <c r="F229" s="16" t="s">
        <v>12</v>
      </c>
      <c r="G229" s="26">
        <f aca="true" t="shared" si="65" ref="G229:L229">G230+G231+G232</f>
        <v>0</v>
      </c>
      <c r="H229" s="26">
        <f t="shared" si="65"/>
        <v>0</v>
      </c>
      <c r="I229" s="26">
        <f t="shared" si="65"/>
        <v>0</v>
      </c>
      <c r="J229" s="26">
        <f t="shared" si="65"/>
        <v>0</v>
      </c>
      <c r="K229" s="26">
        <f t="shared" si="65"/>
        <v>0</v>
      </c>
      <c r="L229" s="26">
        <f t="shared" si="65"/>
        <v>0</v>
      </c>
      <c r="M229" s="81" t="s">
        <v>145</v>
      </c>
    </row>
    <row r="230" spans="1:13" ht="21.75" customHeight="1">
      <c r="A230" s="117"/>
      <c r="B230" s="99"/>
      <c r="C230" s="102"/>
      <c r="D230" s="102"/>
      <c r="E230" s="102"/>
      <c r="F230" s="16" t="s">
        <v>13</v>
      </c>
      <c r="G230" s="26">
        <f>H230+I230+J230+K230+L230</f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82"/>
    </row>
    <row r="231" spans="1:13" ht="21.75" customHeight="1">
      <c r="A231" s="117"/>
      <c r="B231" s="99"/>
      <c r="C231" s="102"/>
      <c r="D231" s="102"/>
      <c r="E231" s="102"/>
      <c r="F231" s="16" t="s">
        <v>14</v>
      </c>
      <c r="G231" s="26">
        <f>H231+I231+J231+K231+L231</f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82"/>
    </row>
    <row r="232" spans="1:13" ht="21.75" customHeight="1">
      <c r="A232" s="118"/>
      <c r="B232" s="100"/>
      <c r="C232" s="102"/>
      <c r="D232" s="106"/>
      <c r="E232" s="106"/>
      <c r="F232" s="16" t="s">
        <v>15</v>
      </c>
      <c r="G232" s="26">
        <f>H232+I232+J232+K232+L232</f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82"/>
    </row>
    <row r="233" spans="1:13" ht="21.75" customHeight="1">
      <c r="A233" s="116" t="s">
        <v>71</v>
      </c>
      <c r="B233" s="98" t="s">
        <v>114</v>
      </c>
      <c r="C233" s="101" t="s">
        <v>125</v>
      </c>
      <c r="D233" s="119" t="s">
        <v>124</v>
      </c>
      <c r="E233" s="101" t="s">
        <v>106</v>
      </c>
      <c r="F233" s="16" t="s">
        <v>12</v>
      </c>
      <c r="G233" s="26">
        <f aca="true" t="shared" si="66" ref="G233:L233">G234+G235+G236</f>
        <v>1043000</v>
      </c>
      <c r="H233" s="26">
        <f t="shared" si="66"/>
        <v>235000</v>
      </c>
      <c r="I233" s="26">
        <f t="shared" si="66"/>
        <v>202000</v>
      </c>
      <c r="J233" s="26">
        <f t="shared" si="66"/>
        <v>202000</v>
      </c>
      <c r="K233" s="26">
        <f t="shared" si="66"/>
        <v>202000</v>
      </c>
      <c r="L233" s="26">
        <f t="shared" si="66"/>
        <v>202000</v>
      </c>
      <c r="M233" s="82"/>
    </row>
    <row r="234" spans="1:13" ht="21.75" customHeight="1">
      <c r="A234" s="117"/>
      <c r="B234" s="99"/>
      <c r="C234" s="102"/>
      <c r="D234" s="120"/>
      <c r="E234" s="102"/>
      <c r="F234" s="16" t="s">
        <v>13</v>
      </c>
      <c r="G234" s="26">
        <f>H234+I234+J234+K234+L234</f>
        <v>1043000</v>
      </c>
      <c r="H234" s="26">
        <v>235000</v>
      </c>
      <c r="I234" s="26">
        <f>252000-I246</f>
        <v>202000</v>
      </c>
      <c r="J234" s="26">
        <v>202000</v>
      </c>
      <c r="K234" s="26">
        <v>202000</v>
      </c>
      <c r="L234" s="26">
        <v>202000</v>
      </c>
      <c r="M234" s="82"/>
    </row>
    <row r="235" spans="1:13" ht="21.75" customHeight="1">
      <c r="A235" s="117"/>
      <c r="B235" s="99"/>
      <c r="C235" s="102"/>
      <c r="D235" s="120"/>
      <c r="E235" s="102"/>
      <c r="F235" s="16" t="s">
        <v>14</v>
      </c>
      <c r="G235" s="26">
        <f>H235+I235+J235+K235+L235</f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82"/>
    </row>
    <row r="236" spans="1:13" ht="21.75" customHeight="1">
      <c r="A236" s="118"/>
      <c r="B236" s="100"/>
      <c r="C236" s="102"/>
      <c r="D236" s="121"/>
      <c r="E236" s="106"/>
      <c r="F236" s="16" t="s">
        <v>15</v>
      </c>
      <c r="G236" s="26">
        <f>H236+I236+J236+K236+L236</f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82"/>
    </row>
    <row r="237" spans="1:13" ht="21.75" customHeight="1">
      <c r="A237" s="101" t="s">
        <v>72</v>
      </c>
      <c r="B237" s="98" t="s">
        <v>115</v>
      </c>
      <c r="C237" s="101" t="s">
        <v>125</v>
      </c>
      <c r="D237" s="119" t="s">
        <v>126</v>
      </c>
      <c r="E237" s="101" t="s">
        <v>106</v>
      </c>
      <c r="F237" s="16" t="s">
        <v>12</v>
      </c>
      <c r="G237" s="26">
        <f aca="true" t="shared" si="67" ref="G237:L237">G238+G239+G240</f>
        <v>545000</v>
      </c>
      <c r="H237" s="26">
        <f t="shared" si="67"/>
        <v>125000</v>
      </c>
      <c r="I237" s="26">
        <f t="shared" si="67"/>
        <v>105000</v>
      </c>
      <c r="J237" s="26">
        <f t="shared" si="67"/>
        <v>105000</v>
      </c>
      <c r="K237" s="26">
        <f t="shared" si="67"/>
        <v>105000</v>
      </c>
      <c r="L237" s="26">
        <f t="shared" si="67"/>
        <v>105000</v>
      </c>
      <c r="M237" s="82"/>
    </row>
    <row r="238" spans="1:13" ht="21.75" customHeight="1">
      <c r="A238" s="102"/>
      <c r="B238" s="99"/>
      <c r="C238" s="102"/>
      <c r="D238" s="120"/>
      <c r="E238" s="102"/>
      <c r="F238" s="16" t="s">
        <v>13</v>
      </c>
      <c r="G238" s="26">
        <f>H238+I238+J238+K238+L238</f>
        <v>545000</v>
      </c>
      <c r="H238" s="26">
        <v>125000</v>
      </c>
      <c r="I238" s="26">
        <v>105000</v>
      </c>
      <c r="J238" s="26">
        <v>105000</v>
      </c>
      <c r="K238" s="26">
        <v>105000</v>
      </c>
      <c r="L238" s="26">
        <v>105000</v>
      </c>
      <c r="M238" s="82"/>
    </row>
    <row r="239" spans="1:13" ht="21.75" customHeight="1">
      <c r="A239" s="102"/>
      <c r="B239" s="99"/>
      <c r="C239" s="102"/>
      <c r="D239" s="120"/>
      <c r="E239" s="102"/>
      <c r="F239" s="16" t="s">
        <v>14</v>
      </c>
      <c r="G239" s="26">
        <f>H239+I239+J239+K239+L239</f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82"/>
    </row>
    <row r="240" spans="1:13" ht="21.75" customHeight="1">
      <c r="A240" s="106"/>
      <c r="B240" s="100"/>
      <c r="C240" s="102"/>
      <c r="D240" s="121"/>
      <c r="E240" s="106"/>
      <c r="F240" s="16" t="s">
        <v>15</v>
      </c>
      <c r="G240" s="26">
        <f>H240+I240+J240+K240+L240</f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82"/>
    </row>
    <row r="241" spans="1:13" ht="21.75" customHeight="1">
      <c r="A241" s="101" t="s">
        <v>73</v>
      </c>
      <c r="B241" s="98" t="s">
        <v>111</v>
      </c>
      <c r="C241" s="101" t="s">
        <v>125</v>
      </c>
      <c r="D241" s="119" t="s">
        <v>124</v>
      </c>
      <c r="E241" s="101" t="s">
        <v>106</v>
      </c>
      <c r="F241" s="16" t="s">
        <v>12</v>
      </c>
      <c r="G241" s="26">
        <f aca="true" t="shared" si="68" ref="G241:L241">G242+G243+G244</f>
        <v>1000000</v>
      </c>
      <c r="H241" s="26">
        <f t="shared" si="68"/>
        <v>200000</v>
      </c>
      <c r="I241" s="26">
        <f t="shared" si="68"/>
        <v>200000</v>
      </c>
      <c r="J241" s="26">
        <f t="shared" si="68"/>
        <v>200000</v>
      </c>
      <c r="K241" s="26">
        <f t="shared" si="68"/>
        <v>200000</v>
      </c>
      <c r="L241" s="26">
        <f t="shared" si="68"/>
        <v>200000</v>
      </c>
      <c r="M241" s="82"/>
    </row>
    <row r="242" spans="1:13" ht="21.75" customHeight="1">
      <c r="A242" s="102"/>
      <c r="B242" s="99"/>
      <c r="C242" s="102"/>
      <c r="D242" s="120"/>
      <c r="E242" s="102"/>
      <c r="F242" s="16" t="s">
        <v>13</v>
      </c>
      <c r="G242" s="26">
        <f>H242+I242+J242+K242+L242</f>
        <v>1000000</v>
      </c>
      <c r="H242" s="26">
        <v>200000</v>
      </c>
      <c r="I242" s="26">
        <v>200000</v>
      </c>
      <c r="J242" s="26">
        <v>200000</v>
      </c>
      <c r="K242" s="26">
        <v>200000</v>
      </c>
      <c r="L242" s="26">
        <v>200000</v>
      </c>
      <c r="M242" s="82"/>
    </row>
    <row r="243" spans="1:13" ht="21.75" customHeight="1">
      <c r="A243" s="102"/>
      <c r="B243" s="99"/>
      <c r="C243" s="102"/>
      <c r="D243" s="120"/>
      <c r="E243" s="102"/>
      <c r="F243" s="16" t="s">
        <v>14</v>
      </c>
      <c r="G243" s="26">
        <f>H243+I243+J243+K243+L243</f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82"/>
    </row>
    <row r="244" spans="1:13" ht="21.75" customHeight="1">
      <c r="A244" s="106"/>
      <c r="B244" s="100"/>
      <c r="C244" s="102"/>
      <c r="D244" s="121"/>
      <c r="E244" s="106"/>
      <c r="F244" s="16" t="s">
        <v>15</v>
      </c>
      <c r="G244" s="26">
        <f>H244+I244+J244+K244+L244</f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82"/>
    </row>
    <row r="245" spans="1:13" ht="21.75" customHeight="1">
      <c r="A245" s="116" t="s">
        <v>85</v>
      </c>
      <c r="B245" s="98" t="s">
        <v>89</v>
      </c>
      <c r="C245" s="101" t="s">
        <v>125</v>
      </c>
      <c r="D245" s="119" t="s">
        <v>124</v>
      </c>
      <c r="E245" s="101" t="s">
        <v>106</v>
      </c>
      <c r="F245" s="16" t="s">
        <v>12</v>
      </c>
      <c r="G245" s="26">
        <f aca="true" t="shared" si="69" ref="G245:L245">G246+G247+G248</f>
        <v>240000</v>
      </c>
      <c r="H245" s="26">
        <f t="shared" si="69"/>
        <v>40000</v>
      </c>
      <c r="I245" s="26">
        <f t="shared" si="69"/>
        <v>50000</v>
      </c>
      <c r="J245" s="26">
        <f t="shared" si="69"/>
        <v>50000</v>
      </c>
      <c r="K245" s="26">
        <f t="shared" si="69"/>
        <v>50000</v>
      </c>
      <c r="L245" s="26">
        <f t="shared" si="69"/>
        <v>50000</v>
      </c>
      <c r="M245" s="82"/>
    </row>
    <row r="246" spans="1:13" ht="21.75" customHeight="1">
      <c r="A246" s="117"/>
      <c r="B246" s="99"/>
      <c r="C246" s="102"/>
      <c r="D246" s="120"/>
      <c r="E246" s="102"/>
      <c r="F246" s="16" t="s">
        <v>13</v>
      </c>
      <c r="G246" s="26">
        <f>H246+I246+J246+K246+L246</f>
        <v>240000</v>
      </c>
      <c r="H246" s="26">
        <v>40000</v>
      </c>
      <c r="I246" s="26">
        <v>50000</v>
      </c>
      <c r="J246" s="26">
        <v>50000</v>
      </c>
      <c r="K246" s="26">
        <v>50000</v>
      </c>
      <c r="L246" s="26">
        <v>50000</v>
      </c>
      <c r="M246" s="82"/>
    </row>
    <row r="247" spans="1:13" ht="21.75" customHeight="1">
      <c r="A247" s="117"/>
      <c r="B247" s="99"/>
      <c r="C247" s="102"/>
      <c r="D247" s="120"/>
      <c r="E247" s="102"/>
      <c r="F247" s="16" t="s">
        <v>14</v>
      </c>
      <c r="G247" s="26">
        <f>H247+I247+J247+K247+L247</f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82"/>
    </row>
    <row r="248" spans="1:13" ht="21.75" customHeight="1">
      <c r="A248" s="118"/>
      <c r="B248" s="100"/>
      <c r="C248" s="102"/>
      <c r="D248" s="121"/>
      <c r="E248" s="106"/>
      <c r="F248" s="16" t="s">
        <v>15</v>
      </c>
      <c r="G248" s="26">
        <f>H248+I248+J248+K248+L248</f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82"/>
    </row>
    <row r="249" spans="1:13" ht="21.75" customHeight="1">
      <c r="A249" s="116" t="s">
        <v>112</v>
      </c>
      <c r="B249" s="98" t="s">
        <v>91</v>
      </c>
      <c r="C249" s="101" t="s">
        <v>125</v>
      </c>
      <c r="D249" s="101"/>
      <c r="E249" s="101" t="s">
        <v>106</v>
      </c>
      <c r="F249" s="16" t="s">
        <v>12</v>
      </c>
      <c r="G249" s="26">
        <f aca="true" t="shared" si="70" ref="G249:L249">G250+G251+G252</f>
        <v>0</v>
      </c>
      <c r="H249" s="26">
        <f t="shared" si="70"/>
        <v>0</v>
      </c>
      <c r="I249" s="26">
        <f t="shared" si="70"/>
        <v>0</v>
      </c>
      <c r="J249" s="26">
        <f t="shared" si="70"/>
        <v>0</v>
      </c>
      <c r="K249" s="26">
        <f t="shared" si="70"/>
        <v>0</v>
      </c>
      <c r="L249" s="26">
        <f t="shared" si="70"/>
        <v>0</v>
      </c>
      <c r="M249" s="82"/>
    </row>
    <row r="250" spans="1:13" ht="21.75" customHeight="1">
      <c r="A250" s="117"/>
      <c r="B250" s="99"/>
      <c r="C250" s="102"/>
      <c r="D250" s="102"/>
      <c r="E250" s="102"/>
      <c r="F250" s="16" t="s">
        <v>13</v>
      </c>
      <c r="G250" s="26">
        <f>H250+I250+J250+K250+L250</f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82"/>
    </row>
    <row r="251" spans="1:13" ht="21.75" customHeight="1">
      <c r="A251" s="117"/>
      <c r="B251" s="99"/>
      <c r="C251" s="102"/>
      <c r="D251" s="102"/>
      <c r="E251" s="102"/>
      <c r="F251" s="16" t="s">
        <v>14</v>
      </c>
      <c r="G251" s="26">
        <f>H251+I251+J251+K251+L251</f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82"/>
    </row>
    <row r="252" spans="1:13" ht="21.75" customHeight="1">
      <c r="A252" s="118"/>
      <c r="B252" s="100"/>
      <c r="C252" s="102"/>
      <c r="D252" s="106"/>
      <c r="E252" s="106"/>
      <c r="F252" s="16" t="s">
        <v>15</v>
      </c>
      <c r="G252" s="26">
        <f>H252+I252+J252+K252+L252</f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82"/>
    </row>
    <row r="253" spans="1:13" ht="21.75" customHeight="1">
      <c r="A253" s="57"/>
      <c r="B253" s="98" t="s">
        <v>105</v>
      </c>
      <c r="C253" s="101" t="s">
        <v>125</v>
      </c>
      <c r="D253" s="101"/>
      <c r="E253" s="101" t="s">
        <v>106</v>
      </c>
      <c r="F253" s="16" t="s">
        <v>12</v>
      </c>
      <c r="G253" s="26">
        <f aca="true" t="shared" si="71" ref="G253:L253">G254+G255+G256</f>
        <v>0</v>
      </c>
      <c r="H253" s="26">
        <f t="shared" si="71"/>
        <v>0</v>
      </c>
      <c r="I253" s="26">
        <f t="shared" si="71"/>
        <v>0</v>
      </c>
      <c r="J253" s="26">
        <f t="shared" si="71"/>
        <v>0</v>
      </c>
      <c r="K253" s="26">
        <f t="shared" si="71"/>
        <v>0</v>
      </c>
      <c r="L253" s="26">
        <f t="shared" si="71"/>
        <v>0</v>
      </c>
      <c r="M253" s="82"/>
    </row>
    <row r="254" spans="1:13" ht="21.75" customHeight="1">
      <c r="A254" s="57" t="s">
        <v>113</v>
      </c>
      <c r="B254" s="99"/>
      <c r="C254" s="102"/>
      <c r="D254" s="102"/>
      <c r="E254" s="102"/>
      <c r="F254" s="16" t="s">
        <v>13</v>
      </c>
      <c r="G254" s="27">
        <f>H254+I254+J254+K254+L254</f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82"/>
    </row>
    <row r="255" spans="1:13" ht="21.75" customHeight="1">
      <c r="A255" s="57"/>
      <c r="B255" s="99"/>
      <c r="C255" s="102"/>
      <c r="D255" s="102"/>
      <c r="E255" s="102"/>
      <c r="F255" s="16" t="s">
        <v>14</v>
      </c>
      <c r="G255" s="27">
        <f>H255+I255+J255+K255+L255</f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82"/>
    </row>
    <row r="256" spans="1:13" ht="21.75" customHeight="1">
      <c r="A256" s="57"/>
      <c r="B256" s="100"/>
      <c r="C256" s="102"/>
      <c r="D256" s="106"/>
      <c r="E256" s="106"/>
      <c r="F256" s="16" t="s">
        <v>15</v>
      </c>
      <c r="G256" s="27">
        <f>H256+I256+J256+K256+L256</f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122"/>
    </row>
    <row r="257" spans="1:13" ht="21.75" customHeight="1">
      <c r="A257" s="107">
        <v>5</v>
      </c>
      <c r="B257" s="110" t="s">
        <v>152</v>
      </c>
      <c r="C257" s="113" t="s">
        <v>125</v>
      </c>
      <c r="D257" s="45"/>
      <c r="E257" s="113" t="s">
        <v>106</v>
      </c>
      <c r="F257" s="39" t="s">
        <v>12</v>
      </c>
      <c r="G257" s="40">
        <f aca="true" t="shared" si="72" ref="G257:L257">G258+G259+G260</f>
        <v>70308091.76</v>
      </c>
      <c r="H257" s="40">
        <f t="shared" si="72"/>
        <v>13370422.13</v>
      </c>
      <c r="I257" s="40">
        <f t="shared" si="72"/>
        <v>13683247.63</v>
      </c>
      <c r="J257" s="40">
        <f t="shared" si="72"/>
        <v>14329616</v>
      </c>
      <c r="K257" s="40">
        <f t="shared" si="72"/>
        <v>14394426</v>
      </c>
      <c r="L257" s="40">
        <f t="shared" si="72"/>
        <v>14530380</v>
      </c>
      <c r="M257" s="58"/>
    </row>
    <row r="258" spans="1:13" ht="21.75" customHeight="1">
      <c r="A258" s="108"/>
      <c r="B258" s="111"/>
      <c r="C258" s="114"/>
      <c r="D258" s="46"/>
      <c r="E258" s="114"/>
      <c r="F258" s="39" t="s">
        <v>13</v>
      </c>
      <c r="G258" s="40">
        <f>H258+I258+J258+K258+L258</f>
        <v>70308091.76</v>
      </c>
      <c r="H258" s="40">
        <f aca="true" t="shared" si="73" ref="H258:L260">H262</f>
        <v>13370422.13</v>
      </c>
      <c r="I258" s="40">
        <f t="shared" si="73"/>
        <v>13683247.63</v>
      </c>
      <c r="J258" s="40">
        <f t="shared" si="73"/>
        <v>14329616</v>
      </c>
      <c r="K258" s="40">
        <f t="shared" si="73"/>
        <v>14394426</v>
      </c>
      <c r="L258" s="40">
        <f t="shared" si="73"/>
        <v>14530380</v>
      </c>
      <c r="M258" s="58"/>
    </row>
    <row r="259" spans="1:13" ht="21.75" customHeight="1">
      <c r="A259" s="108"/>
      <c r="B259" s="111"/>
      <c r="C259" s="114"/>
      <c r="D259" s="46"/>
      <c r="E259" s="114"/>
      <c r="F259" s="39" t="s">
        <v>14</v>
      </c>
      <c r="G259" s="40">
        <f>H259+I259+J259+K259+L259</f>
        <v>0</v>
      </c>
      <c r="H259" s="40">
        <f t="shared" si="73"/>
        <v>0</v>
      </c>
      <c r="I259" s="40">
        <f t="shared" si="73"/>
        <v>0</v>
      </c>
      <c r="J259" s="40">
        <f t="shared" si="73"/>
        <v>0</v>
      </c>
      <c r="K259" s="40">
        <f t="shared" si="73"/>
        <v>0</v>
      </c>
      <c r="L259" s="40">
        <f t="shared" si="73"/>
        <v>0</v>
      </c>
      <c r="M259" s="58"/>
    </row>
    <row r="260" spans="1:13" ht="21.75" customHeight="1">
      <c r="A260" s="109"/>
      <c r="B260" s="112"/>
      <c r="C260" s="115"/>
      <c r="D260" s="47"/>
      <c r="E260" s="115"/>
      <c r="F260" s="39" t="s">
        <v>15</v>
      </c>
      <c r="G260" s="40">
        <f>H260+I260+J260+K260+L260</f>
        <v>0</v>
      </c>
      <c r="H260" s="40">
        <f t="shared" si="73"/>
        <v>0</v>
      </c>
      <c r="I260" s="40">
        <f t="shared" si="73"/>
        <v>0</v>
      </c>
      <c r="J260" s="40">
        <f t="shared" si="73"/>
        <v>0</v>
      </c>
      <c r="K260" s="40">
        <f t="shared" si="73"/>
        <v>0</v>
      </c>
      <c r="L260" s="40">
        <f t="shared" si="73"/>
        <v>0</v>
      </c>
      <c r="M260" s="58"/>
    </row>
    <row r="261" spans="1:13" ht="21.75" customHeight="1">
      <c r="A261" s="116" t="s">
        <v>74</v>
      </c>
      <c r="B261" s="98" t="s">
        <v>79</v>
      </c>
      <c r="C261" s="101" t="s">
        <v>125</v>
      </c>
      <c r="D261" s="101" t="s">
        <v>143</v>
      </c>
      <c r="E261" s="101" t="s">
        <v>106</v>
      </c>
      <c r="F261" s="16" t="s">
        <v>12</v>
      </c>
      <c r="G261" s="26">
        <f aca="true" t="shared" si="74" ref="G261:L261">G262+G263+G264</f>
        <v>70308091.76</v>
      </c>
      <c r="H261" s="26">
        <f t="shared" si="74"/>
        <v>13370422.13</v>
      </c>
      <c r="I261" s="26">
        <f t="shared" si="74"/>
        <v>13683247.63</v>
      </c>
      <c r="J261" s="26">
        <f t="shared" si="74"/>
        <v>14329616</v>
      </c>
      <c r="K261" s="26">
        <f t="shared" si="74"/>
        <v>14394426</v>
      </c>
      <c r="L261" s="26">
        <f t="shared" si="74"/>
        <v>14530380</v>
      </c>
      <c r="M261" s="81" t="s">
        <v>80</v>
      </c>
    </row>
    <row r="262" spans="1:13" ht="21.75" customHeight="1">
      <c r="A262" s="117"/>
      <c r="B262" s="99"/>
      <c r="C262" s="102"/>
      <c r="D262" s="102"/>
      <c r="E262" s="102"/>
      <c r="F262" s="16" t="s">
        <v>13</v>
      </c>
      <c r="G262" s="26">
        <f>H262+I262+J262+K262+L262</f>
        <v>70308091.76</v>
      </c>
      <c r="H262" s="26">
        <f>13390422.13-20000</f>
        <v>13370422.13</v>
      </c>
      <c r="I262" s="26">
        <v>13683247.63</v>
      </c>
      <c r="J262" s="26">
        <f>14153616+176000</f>
        <v>14329616</v>
      </c>
      <c r="K262" s="26">
        <f>14288224+106202</f>
        <v>14394426</v>
      </c>
      <c r="L262" s="26">
        <f>14424178+106202</f>
        <v>14530380</v>
      </c>
      <c r="M262" s="82"/>
    </row>
    <row r="263" spans="1:13" ht="21.75" customHeight="1">
      <c r="A263" s="117"/>
      <c r="B263" s="99"/>
      <c r="C263" s="102"/>
      <c r="D263" s="102"/>
      <c r="E263" s="102"/>
      <c r="F263" s="16" t="s">
        <v>14</v>
      </c>
      <c r="G263" s="26">
        <f>H263+I263+J263+K263+L263</f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82"/>
    </row>
    <row r="264" spans="1:13" ht="21.75" customHeight="1">
      <c r="A264" s="118"/>
      <c r="B264" s="100"/>
      <c r="C264" s="106"/>
      <c r="D264" s="106"/>
      <c r="E264" s="106"/>
      <c r="F264" s="16" t="s">
        <v>15</v>
      </c>
      <c r="G264" s="26">
        <f>H264+I264+J264+K264+L264</f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82"/>
    </row>
    <row r="265" spans="1:13" ht="21.75" customHeight="1">
      <c r="A265" s="83" t="s">
        <v>75</v>
      </c>
      <c r="B265" s="86" t="s">
        <v>76</v>
      </c>
      <c r="C265" s="87"/>
      <c r="D265" s="87"/>
      <c r="E265" s="88"/>
      <c r="F265" s="55" t="s">
        <v>12</v>
      </c>
      <c r="G265" s="56">
        <f aca="true" t="shared" si="75" ref="G265:L265">G266+G267+G268</f>
        <v>5122946211.629</v>
      </c>
      <c r="H265" s="56">
        <f t="shared" si="75"/>
        <v>952111245</v>
      </c>
      <c r="I265" s="56">
        <f t="shared" si="75"/>
        <v>1053138485.54</v>
      </c>
      <c r="J265" s="56">
        <f t="shared" si="75"/>
        <v>1016846962.04</v>
      </c>
      <c r="K265" s="56">
        <f t="shared" si="75"/>
        <v>1044403656.969</v>
      </c>
      <c r="L265" s="56">
        <f t="shared" si="75"/>
        <v>1056445862.0799999</v>
      </c>
      <c r="M265" s="58"/>
    </row>
    <row r="266" spans="1:13" ht="21.75" customHeight="1">
      <c r="A266" s="84"/>
      <c r="B266" s="89"/>
      <c r="C266" s="90"/>
      <c r="D266" s="90"/>
      <c r="E266" s="91"/>
      <c r="F266" s="55" t="s">
        <v>13</v>
      </c>
      <c r="G266" s="56">
        <f>H266+I266+J266+K266+L266</f>
        <v>1380926807.19</v>
      </c>
      <c r="H266" s="56">
        <f>H258+H226+H202+H166+H10</f>
        <v>257261460.35</v>
      </c>
      <c r="I266" s="56">
        <f>I258+I226+I202+I166+I10</f>
        <v>271072966.75</v>
      </c>
      <c r="J266" s="56">
        <f>J258+J226+J202+J166+J10</f>
        <v>291875843</v>
      </c>
      <c r="K266" s="56">
        <f>K258+K226+K202+K166+K10</f>
        <v>281501343.77000004</v>
      </c>
      <c r="L266" s="56">
        <f>L258+L226+L202+L166+L10</f>
        <v>279215193.32</v>
      </c>
      <c r="M266" s="58"/>
    </row>
    <row r="267" spans="1:13" ht="21.75" customHeight="1">
      <c r="A267" s="84"/>
      <c r="B267" s="89"/>
      <c r="C267" s="90"/>
      <c r="D267" s="90"/>
      <c r="E267" s="91"/>
      <c r="F267" s="55" t="s">
        <v>14</v>
      </c>
      <c r="G267" s="56">
        <f>H267+I267+J267+K267+L267</f>
        <v>3516125644.244</v>
      </c>
      <c r="H267" s="56">
        <f>H259+H203+H167+H11+H227</f>
        <v>674427650.65</v>
      </c>
      <c r="I267" s="56">
        <f>I259+I203+I167+I11+I227</f>
        <v>716087904.3299999</v>
      </c>
      <c r="J267" s="56">
        <f>J259+J203+J167+J11+J227</f>
        <v>678812889.5699999</v>
      </c>
      <c r="K267" s="56">
        <f>K259+K203+K167+K11+K227</f>
        <v>716855114.1539999</v>
      </c>
      <c r="L267" s="56">
        <f>L259+L203+L167+L11+L227</f>
        <v>729942085.54</v>
      </c>
      <c r="M267" s="58"/>
    </row>
    <row r="268" spans="1:13" ht="21.75" customHeight="1">
      <c r="A268" s="85"/>
      <c r="B268" s="92"/>
      <c r="C268" s="93"/>
      <c r="D268" s="93"/>
      <c r="E268" s="94"/>
      <c r="F268" s="55" t="s">
        <v>15</v>
      </c>
      <c r="G268" s="56">
        <f>H268+I268+J268+K268+L268</f>
        <v>225893760.195</v>
      </c>
      <c r="H268" s="56">
        <f>H260+H204+H168+H12</f>
        <v>20422134</v>
      </c>
      <c r="I268" s="56">
        <f>I260+I204+I168+I12</f>
        <v>65977614.45999999</v>
      </c>
      <c r="J268" s="56">
        <f>J260+J204+J168+J12</f>
        <v>46158229.47</v>
      </c>
      <c r="K268" s="56">
        <f>K260+K204+K168+K12</f>
        <v>46047199.045</v>
      </c>
      <c r="L268" s="56">
        <f>L260+L204+L168+L12</f>
        <v>47288583.22</v>
      </c>
      <c r="M268" s="58"/>
    </row>
    <row r="269" spans="7:13" ht="16.5" hidden="1" outlineLevel="1">
      <c r="G269" s="53" t="s">
        <v>176</v>
      </c>
      <c r="I269" s="52" t="e">
        <f>I265-#REF!</f>
        <v>#REF!</v>
      </c>
      <c r="J269" s="48">
        <v>4581200</v>
      </c>
      <c r="K269" s="49">
        <v>44315</v>
      </c>
      <c r="L269" s="50" t="s">
        <v>173</v>
      </c>
      <c r="M269" s="51"/>
    </row>
    <row r="270" spans="10:13" ht="16.5" hidden="1" outlineLevel="1">
      <c r="J270" s="48">
        <v>15130586.16</v>
      </c>
      <c r="K270" s="49">
        <v>44316</v>
      </c>
      <c r="L270" s="50" t="s">
        <v>174</v>
      </c>
      <c r="M270" s="51"/>
    </row>
    <row r="271" spans="10:13" ht="16.5" hidden="1" outlineLevel="1">
      <c r="J271" s="48">
        <f>602506.08+901734-110000</f>
        <v>1394240.08</v>
      </c>
      <c r="K271" s="49">
        <v>44321</v>
      </c>
      <c r="L271" s="50" t="s">
        <v>175</v>
      </c>
      <c r="M271" s="51"/>
    </row>
    <row r="272" spans="9:12" ht="16.5" collapsed="1">
      <c r="I272" s="48">
        <f>'[2]остатки средств в ФК_7'!$R$92</f>
        <v>1053138485.54</v>
      </c>
      <c r="J272" s="48">
        <f>'[3]прил 6'!G914-'[3]прил 6'!G867-'[3]прил 6'!G835-'[3]прил 6'!G780-'[3]прил 6'!G418+1980000</f>
        <v>1016846962.04</v>
      </c>
      <c r="K272" s="48">
        <f>'[3]прил 6'!H914-'[3]прил 6'!H867-'[3]прил 6'!H835-'[3]прил 6'!H780-'[3]прил 6'!H418+2080000</f>
        <v>1044403656.9699999</v>
      </c>
      <c r="L272" s="48">
        <f>'[3]прил 6'!I914-'[3]прил 6'!I867-'[3]прил 6'!I835-'[3]прил 6'!I780-'[3]прил 6'!I418+2080000</f>
        <v>1056445862.0799999</v>
      </c>
    </row>
    <row r="273" spans="9:12" ht="16.5">
      <c r="I273" s="48">
        <f>I265-I272</f>
        <v>0</v>
      </c>
      <c r="J273" s="48">
        <f>J265-J272</f>
        <v>0</v>
      </c>
      <c r="K273" s="48">
        <f>K265-K272</f>
        <v>-0.0009999275207519531</v>
      </c>
      <c r="L273" s="48">
        <f>L265-L272</f>
        <v>0</v>
      </c>
    </row>
    <row r="274" spans="10:12" ht="16.5">
      <c r="J274" s="34"/>
      <c r="L274" s="34"/>
    </row>
    <row r="275" spans="1:41" s="21" customFormat="1" ht="16.5">
      <c r="A275" s="2"/>
      <c r="B275" s="18"/>
      <c r="C275" s="17"/>
      <c r="D275" s="2"/>
      <c r="E275" s="2"/>
      <c r="F275" s="2"/>
      <c r="I275" s="34"/>
      <c r="M275" s="3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</sheetData>
  <sheetProtection/>
  <mergeCells count="348"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80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69:A72"/>
    <mergeCell ref="B69:B72"/>
    <mergeCell ref="C69:C72"/>
    <mergeCell ref="D69:D72"/>
    <mergeCell ref="E69:E72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M81:M92"/>
    <mergeCell ref="B85:B88"/>
    <mergeCell ref="C85:C88"/>
    <mergeCell ref="D85:D88"/>
    <mergeCell ref="E85:E8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M93:M116"/>
    <mergeCell ref="A97:A100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A113:A116"/>
    <mergeCell ref="B113:B116"/>
    <mergeCell ref="C113:C116"/>
    <mergeCell ref="D113:D116"/>
    <mergeCell ref="E113:E116"/>
    <mergeCell ref="A117:A120"/>
    <mergeCell ref="B117:B120"/>
    <mergeCell ref="C117:C120"/>
    <mergeCell ref="D117:D120"/>
    <mergeCell ref="E117:E120"/>
    <mergeCell ref="M117:M120"/>
    <mergeCell ref="A121:A124"/>
    <mergeCell ref="B121:B124"/>
    <mergeCell ref="C121:C124"/>
    <mergeCell ref="D121:D124"/>
    <mergeCell ref="E121:E124"/>
    <mergeCell ref="M121:M136"/>
    <mergeCell ref="A125:A128"/>
    <mergeCell ref="B125:B128"/>
    <mergeCell ref="C125:C128"/>
    <mergeCell ref="D125:D128"/>
    <mergeCell ref="E125:E128"/>
    <mergeCell ref="A129:A132"/>
    <mergeCell ref="B129:B132"/>
    <mergeCell ref="C129:C132"/>
    <mergeCell ref="D129:D132"/>
    <mergeCell ref="E129:E132"/>
    <mergeCell ref="Y129:Y132"/>
    <mergeCell ref="A133:A136"/>
    <mergeCell ref="B133:B136"/>
    <mergeCell ref="C133:C136"/>
    <mergeCell ref="D133:D136"/>
    <mergeCell ref="E133:E136"/>
    <mergeCell ref="A137:A140"/>
    <mergeCell ref="B137:B140"/>
    <mergeCell ref="C137:C140"/>
    <mergeCell ref="D137:D140"/>
    <mergeCell ref="E137:E140"/>
    <mergeCell ref="M137:M140"/>
    <mergeCell ref="A141:A144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M145:M148"/>
    <mergeCell ref="B149:B152"/>
    <mergeCell ref="C149:C152"/>
    <mergeCell ref="D149:D152"/>
    <mergeCell ref="E149:E152"/>
    <mergeCell ref="M149:M152"/>
    <mergeCell ref="A153:A156"/>
    <mergeCell ref="B153:B156"/>
    <mergeCell ref="C153:C156"/>
    <mergeCell ref="D153:D156"/>
    <mergeCell ref="E153:E156"/>
    <mergeCell ref="M153:M156"/>
    <mergeCell ref="A157:A160"/>
    <mergeCell ref="B157:B160"/>
    <mergeCell ref="C157:C160"/>
    <mergeCell ref="D157:D160"/>
    <mergeCell ref="E157:E160"/>
    <mergeCell ref="M157:M160"/>
    <mergeCell ref="A161:A164"/>
    <mergeCell ref="B161:B164"/>
    <mergeCell ref="C161:C164"/>
    <mergeCell ref="D161:D164"/>
    <mergeCell ref="E161:E164"/>
    <mergeCell ref="M161:M164"/>
    <mergeCell ref="A165:A168"/>
    <mergeCell ref="B165:B168"/>
    <mergeCell ref="C165:C168"/>
    <mergeCell ref="D165:D168"/>
    <mergeCell ref="E165:E168"/>
    <mergeCell ref="M165:M168"/>
    <mergeCell ref="Y168:Y180"/>
    <mergeCell ref="A169:A172"/>
    <mergeCell ref="B169:B172"/>
    <mergeCell ref="C169:C172"/>
    <mergeCell ref="D169:D172"/>
    <mergeCell ref="E169:E172"/>
    <mergeCell ref="M169:M200"/>
    <mergeCell ref="A173:A176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B189:B192"/>
    <mergeCell ref="C189:C192"/>
    <mergeCell ref="D189:D192"/>
    <mergeCell ref="E189:E192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A201:A204"/>
    <mergeCell ref="B201:B204"/>
    <mergeCell ref="C201:C204"/>
    <mergeCell ref="D201:D204"/>
    <mergeCell ref="E201:E204"/>
    <mergeCell ref="M201:M204"/>
    <mergeCell ref="A205:A208"/>
    <mergeCell ref="B205:B208"/>
    <mergeCell ref="C205:C208"/>
    <mergeCell ref="D205:D208"/>
    <mergeCell ref="E205:E208"/>
    <mergeCell ref="M205:M224"/>
    <mergeCell ref="A209:A212"/>
    <mergeCell ref="B209:B212"/>
    <mergeCell ref="C209:C212"/>
    <mergeCell ref="D209:D212"/>
    <mergeCell ref="E209:E212"/>
    <mergeCell ref="A213:A216"/>
    <mergeCell ref="B213:B216"/>
    <mergeCell ref="C213:C216"/>
    <mergeCell ref="D213:D216"/>
    <mergeCell ref="E213:E216"/>
    <mergeCell ref="B217:B220"/>
    <mergeCell ref="C217:C220"/>
    <mergeCell ref="D217:D220"/>
    <mergeCell ref="E217:E220"/>
    <mergeCell ref="A221:A224"/>
    <mergeCell ref="B221:B224"/>
    <mergeCell ref="C221:C224"/>
    <mergeCell ref="D221:D224"/>
    <mergeCell ref="E221:E224"/>
    <mergeCell ref="A225:A228"/>
    <mergeCell ref="B225:B228"/>
    <mergeCell ref="C225:C228"/>
    <mergeCell ref="D225:D228"/>
    <mergeCell ref="E225:E228"/>
    <mergeCell ref="M225:M228"/>
    <mergeCell ref="A229:A232"/>
    <mergeCell ref="B229:B232"/>
    <mergeCell ref="C229:C232"/>
    <mergeCell ref="D229:D232"/>
    <mergeCell ref="E229:E232"/>
    <mergeCell ref="M229:M256"/>
    <mergeCell ref="A233:A236"/>
    <mergeCell ref="B233:B236"/>
    <mergeCell ref="C233:C236"/>
    <mergeCell ref="D233:D236"/>
    <mergeCell ref="E233:E236"/>
    <mergeCell ref="A237:A240"/>
    <mergeCell ref="B237:B240"/>
    <mergeCell ref="C237:C240"/>
    <mergeCell ref="D237:D240"/>
    <mergeCell ref="E237:E240"/>
    <mergeCell ref="A241:A244"/>
    <mergeCell ref="B241:B244"/>
    <mergeCell ref="C241:C244"/>
    <mergeCell ref="D241:D244"/>
    <mergeCell ref="E241:E244"/>
    <mergeCell ref="A245:A248"/>
    <mergeCell ref="B245:B248"/>
    <mergeCell ref="C245:C248"/>
    <mergeCell ref="D245:D248"/>
    <mergeCell ref="E245:E248"/>
    <mergeCell ref="A249:A252"/>
    <mergeCell ref="B249:B252"/>
    <mergeCell ref="C249:C252"/>
    <mergeCell ref="D249:D252"/>
    <mergeCell ref="E249:E252"/>
    <mergeCell ref="B253:B256"/>
    <mergeCell ref="C253:C256"/>
    <mergeCell ref="D253:D256"/>
    <mergeCell ref="E253:E256"/>
    <mergeCell ref="C257:C260"/>
    <mergeCell ref="E257:E260"/>
    <mergeCell ref="A261:A264"/>
    <mergeCell ref="B261:B264"/>
    <mergeCell ref="C261:C264"/>
    <mergeCell ref="D261:D264"/>
    <mergeCell ref="E261:E264"/>
    <mergeCell ref="M261:M264"/>
    <mergeCell ref="A265:A268"/>
    <mergeCell ref="B265:E268"/>
    <mergeCell ref="A73:A76"/>
    <mergeCell ref="B73:B76"/>
    <mergeCell ref="C73:C76"/>
    <mergeCell ref="D73:D76"/>
    <mergeCell ref="E73:E76"/>
    <mergeCell ref="A257:A260"/>
    <mergeCell ref="B257:B260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44" r:id="rId3"/>
  <rowBreaks count="4" manualBreakCount="4">
    <brk id="56" max="12" man="1"/>
    <brk id="116" max="12" man="1"/>
    <brk id="180" max="12" man="1"/>
    <brk id="23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5"/>
  <sheetViews>
    <sheetView view="pageBreakPreview" zoomScale="80" zoomScaleSheetLayoutView="80" zoomScalePageLayoutView="0" workbookViewId="0" topLeftCell="A1">
      <pane xSplit="7" ySplit="7" topLeftCell="H26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170" sqref="J170"/>
    </sheetView>
  </sheetViews>
  <sheetFormatPr defaultColWidth="9.140625" defaultRowHeight="12.75" outlineLevelRow="1"/>
  <cols>
    <col min="1" max="1" width="9.8515625" style="2" customWidth="1"/>
    <col min="2" max="2" width="51.00390625" style="18" customWidth="1"/>
    <col min="3" max="3" width="14.28125" style="17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1" customWidth="1"/>
    <col min="13" max="13" width="65.7109375" style="31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76" t="s">
        <v>0</v>
      </c>
      <c r="L1" s="176"/>
      <c r="M1" s="176"/>
      <c r="N1" s="3"/>
      <c r="O1" s="3"/>
      <c r="P1" s="3"/>
    </row>
    <row r="2" spans="1:14" ht="16.5">
      <c r="A2" s="1"/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22"/>
      <c r="M2" s="60" t="s">
        <v>190</v>
      </c>
      <c r="N2" s="3"/>
    </row>
    <row r="3" spans="1:13" ht="16.5">
      <c r="A3" s="1"/>
      <c r="B3" s="177" t="s">
        <v>2</v>
      </c>
      <c r="C3" s="177"/>
      <c r="D3" s="177"/>
      <c r="E3" s="177"/>
      <c r="F3" s="177"/>
      <c r="G3" s="177"/>
      <c r="H3" s="177"/>
      <c r="I3" s="177"/>
      <c r="J3" s="177"/>
      <c r="K3" s="177"/>
      <c r="L3" s="23"/>
      <c r="M3" s="28" t="s">
        <v>118</v>
      </c>
    </row>
    <row r="4" spans="1:13" ht="15.75" customHeight="1">
      <c r="A4" s="1"/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7"/>
      <c r="L4" s="24"/>
      <c r="M4" s="29"/>
    </row>
    <row r="5" spans="1:13" ht="16.5">
      <c r="A5" s="1"/>
      <c r="H5" s="34"/>
      <c r="I5" s="54">
        <f>I19+I39+I43+I47+I51+I91+I99+I115</f>
        <v>628554600</v>
      </c>
      <c r="J5" s="54">
        <f>J19+J39+J43+J47+J51+J91+J99+J115</f>
        <v>616661000</v>
      </c>
      <c r="K5" s="54">
        <f>K19+K39+K43+K47+K51+K91+K99+K115</f>
        <v>640756000</v>
      </c>
      <c r="L5" s="54">
        <f>L19+L39+L43+L47+L51+L91+L99+L115</f>
        <v>661037500</v>
      </c>
      <c r="M5" s="29"/>
    </row>
    <row r="6" spans="1:13" s="32" customFormat="1" ht="21.75" customHeight="1">
      <c r="A6" s="168" t="s">
        <v>3</v>
      </c>
      <c r="B6" s="168" t="s">
        <v>4</v>
      </c>
      <c r="C6" s="168" t="s">
        <v>5</v>
      </c>
      <c r="D6" s="168" t="s">
        <v>121</v>
      </c>
      <c r="E6" s="168" t="s">
        <v>6</v>
      </c>
      <c r="F6" s="168" t="s">
        <v>7</v>
      </c>
      <c r="G6" s="165" t="s">
        <v>8</v>
      </c>
      <c r="H6" s="166"/>
      <c r="I6" s="166"/>
      <c r="J6" s="166"/>
      <c r="K6" s="166"/>
      <c r="L6" s="167"/>
      <c r="M6" s="168" t="s">
        <v>9</v>
      </c>
    </row>
    <row r="7" spans="1:13" s="32" customFormat="1" ht="21.75" customHeight="1">
      <c r="A7" s="169"/>
      <c r="B7" s="169"/>
      <c r="C7" s="169"/>
      <c r="D7" s="169"/>
      <c r="E7" s="169"/>
      <c r="F7" s="169"/>
      <c r="G7" s="20" t="s">
        <v>10</v>
      </c>
      <c r="H7" s="19">
        <v>2020</v>
      </c>
      <c r="I7" s="33">
        <v>2021</v>
      </c>
      <c r="J7" s="19">
        <v>2022</v>
      </c>
      <c r="K7" s="19">
        <v>2023</v>
      </c>
      <c r="L7" s="19">
        <v>2024</v>
      </c>
      <c r="M7" s="169"/>
    </row>
    <row r="8" spans="1:13" s="17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5">
        <v>6</v>
      </c>
      <c r="H8" s="25">
        <v>9</v>
      </c>
      <c r="I8" s="25">
        <v>10</v>
      </c>
      <c r="J8" s="25">
        <v>10</v>
      </c>
      <c r="K8" s="25">
        <v>9</v>
      </c>
      <c r="L8" s="25">
        <v>10</v>
      </c>
      <c r="M8" s="30">
        <v>11</v>
      </c>
    </row>
    <row r="9" spans="1:14" ht="30.75" customHeight="1">
      <c r="A9" s="107" t="s">
        <v>11</v>
      </c>
      <c r="B9" s="170" t="s">
        <v>146</v>
      </c>
      <c r="C9" s="113" t="s">
        <v>125</v>
      </c>
      <c r="D9" s="134" t="s">
        <v>122</v>
      </c>
      <c r="E9" s="113" t="s">
        <v>106</v>
      </c>
      <c r="F9" s="39" t="s">
        <v>12</v>
      </c>
      <c r="G9" s="40">
        <f aca="true" t="shared" si="0" ref="G9:L9">G10+G11+G12</f>
        <v>4950228449.74</v>
      </c>
      <c r="H9" s="40">
        <f t="shared" si="0"/>
        <v>914744851.35</v>
      </c>
      <c r="I9" s="40">
        <f t="shared" si="0"/>
        <v>1015842407.56</v>
      </c>
      <c r="J9" s="40">
        <f t="shared" si="0"/>
        <v>981177861.04</v>
      </c>
      <c r="K9" s="40">
        <f t="shared" si="0"/>
        <v>1014000206.27</v>
      </c>
      <c r="L9" s="40">
        <f t="shared" si="0"/>
        <v>1024463123.52</v>
      </c>
      <c r="M9" s="173"/>
      <c r="N9" s="3"/>
    </row>
    <row r="10" spans="1:14" ht="30.75" customHeight="1">
      <c r="A10" s="108"/>
      <c r="B10" s="171"/>
      <c r="C10" s="114"/>
      <c r="D10" s="139"/>
      <c r="E10" s="114"/>
      <c r="F10" s="39" t="s">
        <v>13</v>
      </c>
      <c r="G10" s="40">
        <f>H10+I10+J10+K10+L10</f>
        <v>1245915036.1000001</v>
      </c>
      <c r="H10" s="41">
        <f aca="true" t="shared" si="1" ref="H10:L12">H14+H34+H82+H94+H118</f>
        <v>231636913.84</v>
      </c>
      <c r="I10" s="41">
        <f t="shared" si="1"/>
        <v>246634835.64</v>
      </c>
      <c r="J10" s="41">
        <f t="shared" si="1"/>
        <v>260574113.69</v>
      </c>
      <c r="K10" s="41">
        <f t="shared" si="1"/>
        <v>255467305.61</v>
      </c>
      <c r="L10" s="41">
        <f t="shared" si="1"/>
        <v>251601867.32</v>
      </c>
      <c r="M10" s="174"/>
      <c r="N10" s="3"/>
    </row>
    <row r="11" spans="1:14" ht="30.75" customHeight="1">
      <c r="A11" s="108"/>
      <c r="B11" s="171"/>
      <c r="C11" s="114"/>
      <c r="D11" s="139"/>
      <c r="E11" s="114"/>
      <c r="F11" s="39" t="s">
        <v>14</v>
      </c>
      <c r="G11" s="40">
        <f>H11+I11+J11+K11+L11</f>
        <v>3478419653.44</v>
      </c>
      <c r="H11" s="41">
        <f t="shared" si="1"/>
        <v>662685803.51</v>
      </c>
      <c r="I11" s="41">
        <f t="shared" si="1"/>
        <v>703229957.4599999</v>
      </c>
      <c r="J11" s="41">
        <f t="shared" si="1"/>
        <v>674445517.88</v>
      </c>
      <c r="K11" s="41">
        <f t="shared" si="1"/>
        <v>712485701.61</v>
      </c>
      <c r="L11" s="41">
        <f t="shared" si="1"/>
        <v>725572672.98</v>
      </c>
      <c r="M11" s="174"/>
      <c r="N11" s="3"/>
    </row>
    <row r="12" spans="1:14" ht="30.75" customHeight="1">
      <c r="A12" s="109"/>
      <c r="B12" s="172"/>
      <c r="C12" s="115"/>
      <c r="D12" s="140"/>
      <c r="E12" s="115"/>
      <c r="F12" s="39" t="s">
        <v>15</v>
      </c>
      <c r="G12" s="40">
        <f>H12+I12+J12+K12+L12</f>
        <v>225893760.2</v>
      </c>
      <c r="H12" s="41">
        <f t="shared" si="1"/>
        <v>20422134</v>
      </c>
      <c r="I12" s="41">
        <f t="shared" si="1"/>
        <v>65977614.45999999</v>
      </c>
      <c r="J12" s="41">
        <f t="shared" si="1"/>
        <v>46158229.47</v>
      </c>
      <c r="K12" s="41">
        <f t="shared" si="1"/>
        <v>46047199.05</v>
      </c>
      <c r="L12" s="41">
        <f t="shared" si="1"/>
        <v>47288583.22</v>
      </c>
      <c r="M12" s="175"/>
      <c r="N12" s="3"/>
    </row>
    <row r="13" spans="1:14" ht="21.75" customHeight="1">
      <c r="A13" s="160" t="s">
        <v>16</v>
      </c>
      <c r="B13" s="162" t="s">
        <v>17</v>
      </c>
      <c r="C13" s="151" t="s">
        <v>125</v>
      </c>
      <c r="D13" s="154" t="s">
        <v>122</v>
      </c>
      <c r="E13" s="151" t="s">
        <v>106</v>
      </c>
      <c r="F13" s="42" t="s">
        <v>12</v>
      </c>
      <c r="G13" s="43">
        <f aca="true" t="shared" si="2" ref="G13:L13">G14+G15+G16</f>
        <v>1595765134.24</v>
      </c>
      <c r="H13" s="43">
        <f t="shared" si="2"/>
        <v>300410153.05</v>
      </c>
      <c r="I13" s="43">
        <f t="shared" si="2"/>
        <v>317186259.79</v>
      </c>
      <c r="J13" s="43">
        <f t="shared" si="2"/>
        <v>316491726.38</v>
      </c>
      <c r="K13" s="43">
        <f t="shared" si="2"/>
        <v>328634315.39</v>
      </c>
      <c r="L13" s="43">
        <f t="shared" si="2"/>
        <v>333042679.63</v>
      </c>
      <c r="M13" s="81" t="s">
        <v>153</v>
      </c>
      <c r="N13" s="3"/>
    </row>
    <row r="14" spans="1:14" ht="21.75" customHeight="1">
      <c r="A14" s="161"/>
      <c r="B14" s="163"/>
      <c r="C14" s="152"/>
      <c r="D14" s="155"/>
      <c r="E14" s="152"/>
      <c r="F14" s="42" t="s">
        <v>13</v>
      </c>
      <c r="G14" s="43">
        <f>H14+I14+J14+K14+L14</f>
        <v>494926723.07</v>
      </c>
      <c r="H14" s="44">
        <f aca="true" t="shared" si="3" ref="H14:L16">H18+H22+H26+H30</f>
        <v>96147672.62</v>
      </c>
      <c r="I14" s="44">
        <f t="shared" si="3"/>
        <v>99727111.45</v>
      </c>
      <c r="J14" s="44">
        <f>J18+J22+J26+J30</f>
        <v>100148170</v>
      </c>
      <c r="K14" s="44">
        <f t="shared" si="3"/>
        <v>99281183</v>
      </c>
      <c r="L14" s="44">
        <f t="shared" si="3"/>
        <v>99622586</v>
      </c>
      <c r="M14" s="82"/>
      <c r="N14" s="3"/>
    </row>
    <row r="15" spans="1:14" ht="21.75" customHeight="1">
      <c r="A15" s="161"/>
      <c r="B15" s="163"/>
      <c r="C15" s="152"/>
      <c r="D15" s="155"/>
      <c r="E15" s="152"/>
      <c r="F15" s="42" t="s">
        <v>14</v>
      </c>
      <c r="G15" s="43">
        <f>H15+I15+J15+K15+L15</f>
        <v>1100838411.17</v>
      </c>
      <c r="H15" s="44">
        <f t="shared" si="3"/>
        <v>204262480.43</v>
      </c>
      <c r="I15" s="44">
        <f t="shared" si="3"/>
        <v>217459148.34</v>
      </c>
      <c r="J15" s="44">
        <f>J19+J23+J27+J31</f>
        <v>216343556.38</v>
      </c>
      <c r="K15" s="44">
        <f t="shared" si="3"/>
        <v>229353132.39</v>
      </c>
      <c r="L15" s="44">
        <f t="shared" si="3"/>
        <v>233420093.63</v>
      </c>
      <c r="M15" s="82"/>
      <c r="N15" s="3"/>
    </row>
    <row r="16" spans="1:14" ht="21.75" customHeight="1">
      <c r="A16" s="161"/>
      <c r="B16" s="163"/>
      <c r="C16" s="152"/>
      <c r="D16" s="156"/>
      <c r="E16" s="152"/>
      <c r="F16" s="42" t="s">
        <v>15</v>
      </c>
      <c r="G16" s="43">
        <f>H16+I16+J16+K16+L16</f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  <c r="L16" s="44">
        <f t="shared" si="3"/>
        <v>0</v>
      </c>
      <c r="M16" s="82"/>
      <c r="N16" s="3"/>
    </row>
    <row r="17" spans="1:14" ht="21.75" customHeight="1">
      <c r="A17" s="164" t="s">
        <v>18</v>
      </c>
      <c r="B17" s="142" t="s">
        <v>19</v>
      </c>
      <c r="C17" s="101" t="s">
        <v>125</v>
      </c>
      <c r="D17" s="103" t="s">
        <v>122</v>
      </c>
      <c r="E17" s="101" t="s">
        <v>106</v>
      </c>
      <c r="F17" s="16" t="s">
        <v>12</v>
      </c>
      <c r="G17" s="26">
        <f aca="true" t="shared" si="4" ref="G17:L17">G18+G19+G20</f>
        <v>1456331905.77</v>
      </c>
      <c r="H17" s="26">
        <f t="shared" si="4"/>
        <v>271391628.05</v>
      </c>
      <c r="I17" s="26">
        <f t="shared" si="4"/>
        <v>286733835.72</v>
      </c>
      <c r="J17" s="26">
        <f t="shared" si="4"/>
        <v>292765935</v>
      </c>
      <c r="K17" s="26">
        <f t="shared" si="4"/>
        <v>299447900</v>
      </c>
      <c r="L17" s="26">
        <f t="shared" si="4"/>
        <v>305992607</v>
      </c>
      <c r="M17" s="82"/>
      <c r="N17" s="3"/>
    </row>
    <row r="18" spans="1:14" ht="21.75" customHeight="1">
      <c r="A18" s="117"/>
      <c r="B18" s="143"/>
      <c r="C18" s="102"/>
      <c r="D18" s="104"/>
      <c r="E18" s="102"/>
      <c r="F18" s="16" t="s">
        <v>13</v>
      </c>
      <c r="G18" s="26">
        <f>H18+I18+J18+K18+L18</f>
        <v>490889822.84000003</v>
      </c>
      <c r="H18" s="26">
        <v>95367218.62</v>
      </c>
      <c r="I18" s="26">
        <f>98500729.44+251771.78</f>
        <v>98752501.22</v>
      </c>
      <c r="J18" s="26">
        <f>99927242-500000</f>
        <v>99427242</v>
      </c>
      <c r="K18" s="26">
        <v>98500729</v>
      </c>
      <c r="L18" s="26">
        <v>98842132</v>
      </c>
      <c r="M18" s="82"/>
      <c r="N18" s="3"/>
    </row>
    <row r="19" spans="1:14" ht="21.75" customHeight="1">
      <c r="A19" s="117"/>
      <c r="B19" s="143"/>
      <c r="C19" s="102"/>
      <c r="D19" s="104"/>
      <c r="E19" s="102"/>
      <c r="F19" s="16" t="s">
        <v>14</v>
      </c>
      <c r="G19" s="26">
        <f>H19+I19+J19+K19+L19</f>
        <v>965442082.9300001</v>
      </c>
      <c r="H19" s="26">
        <f>176152309.43-127900</f>
        <v>176024409.43</v>
      </c>
      <c r="I19" s="26">
        <f>188109234.5-127900</f>
        <v>187981334.5</v>
      </c>
      <c r="J19" s="26">
        <f>193465907-127214</f>
        <v>193338693</v>
      </c>
      <c r="K19" s="26">
        <f>201074385-127214</f>
        <v>200947171</v>
      </c>
      <c r="L19" s="26">
        <f>207277689-127214</f>
        <v>207150475</v>
      </c>
      <c r="M19" s="82"/>
      <c r="N19" s="3"/>
    </row>
    <row r="20" spans="1:14" ht="21.75" customHeight="1">
      <c r="A20" s="117"/>
      <c r="B20" s="143"/>
      <c r="C20" s="102"/>
      <c r="D20" s="105"/>
      <c r="E20" s="102"/>
      <c r="F20" s="16" t="s">
        <v>15</v>
      </c>
      <c r="G20" s="26">
        <f>H20+I20+J20+K20+L20</f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82"/>
      <c r="N20" s="3"/>
    </row>
    <row r="21" spans="1:14" ht="21.75" customHeight="1">
      <c r="A21" s="116" t="s">
        <v>20</v>
      </c>
      <c r="B21" s="142" t="s">
        <v>21</v>
      </c>
      <c r="C21" s="101" t="s">
        <v>125</v>
      </c>
      <c r="D21" s="103" t="s">
        <v>122</v>
      </c>
      <c r="E21" s="101" t="s">
        <v>106</v>
      </c>
      <c r="F21" s="16" t="s">
        <v>12</v>
      </c>
      <c r="G21" s="26">
        <f aca="true" t="shared" si="5" ref="G21:L21">G22+G23+G24</f>
        <v>4036900.23</v>
      </c>
      <c r="H21" s="26">
        <f t="shared" si="5"/>
        <v>780454</v>
      </c>
      <c r="I21" s="26">
        <f t="shared" si="5"/>
        <v>974610.2300000001</v>
      </c>
      <c r="J21" s="26">
        <f t="shared" si="5"/>
        <v>720928</v>
      </c>
      <c r="K21" s="26">
        <f t="shared" si="5"/>
        <v>780454</v>
      </c>
      <c r="L21" s="26">
        <f t="shared" si="5"/>
        <v>780454</v>
      </c>
      <c r="M21" s="82"/>
      <c r="N21" s="3"/>
    </row>
    <row r="22" spans="1:17" ht="21.75" customHeight="1">
      <c r="A22" s="117"/>
      <c r="B22" s="143"/>
      <c r="C22" s="102"/>
      <c r="D22" s="104"/>
      <c r="E22" s="102"/>
      <c r="F22" s="16" t="s">
        <v>13</v>
      </c>
      <c r="G22" s="26">
        <f>H22+I22+J22+K22+L22</f>
        <v>4036900.23</v>
      </c>
      <c r="H22" s="26">
        <v>780454</v>
      </c>
      <c r="I22" s="26">
        <f>858767.75+78575.57+37266.91</f>
        <v>974610.2300000001</v>
      </c>
      <c r="J22" s="26">
        <v>720928</v>
      </c>
      <c r="K22" s="26">
        <v>780454</v>
      </c>
      <c r="L22" s="26">
        <v>780454</v>
      </c>
      <c r="M22" s="82"/>
      <c r="N22" s="3"/>
      <c r="Q22" s="3"/>
    </row>
    <row r="23" spans="1:14" ht="21.75" customHeight="1">
      <c r="A23" s="117"/>
      <c r="B23" s="143"/>
      <c r="C23" s="102"/>
      <c r="D23" s="104"/>
      <c r="E23" s="102"/>
      <c r="F23" s="16" t="s">
        <v>14</v>
      </c>
      <c r="G23" s="26">
        <f>H23+I23+J23+K23+L23</f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82"/>
      <c r="N23" s="3"/>
    </row>
    <row r="24" spans="1:14" ht="21.75" customHeight="1">
      <c r="A24" s="118"/>
      <c r="B24" s="144"/>
      <c r="C24" s="102"/>
      <c r="D24" s="105"/>
      <c r="E24" s="106"/>
      <c r="F24" s="16" t="s">
        <v>15</v>
      </c>
      <c r="G24" s="26">
        <f>H24+I24+J24+K24+L24</f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82"/>
      <c r="N24" s="3"/>
    </row>
    <row r="25" spans="1:14" ht="21.75" customHeight="1">
      <c r="A25" s="116" t="s">
        <v>22</v>
      </c>
      <c r="B25" s="142" t="s">
        <v>23</v>
      </c>
      <c r="C25" s="101" t="s">
        <v>125</v>
      </c>
      <c r="D25" s="103" t="s">
        <v>122</v>
      </c>
      <c r="E25" s="101" t="s">
        <v>106</v>
      </c>
      <c r="F25" s="16" t="s">
        <v>12</v>
      </c>
      <c r="G25" s="26">
        <f aca="true" t="shared" si="6" ref="G25:L25">G26+G27+G28</f>
        <v>92293197.84</v>
      </c>
      <c r="H25" s="26">
        <f t="shared" si="6"/>
        <v>18787671</v>
      </c>
      <c r="I25" s="26">
        <f t="shared" si="6"/>
        <v>19609249.84</v>
      </c>
      <c r="J25" s="26">
        <f t="shared" si="6"/>
        <v>15678454</v>
      </c>
      <c r="K25" s="26">
        <f t="shared" si="6"/>
        <v>20365224</v>
      </c>
      <c r="L25" s="26">
        <f t="shared" si="6"/>
        <v>17852599</v>
      </c>
      <c r="M25" s="82"/>
      <c r="N25" s="3"/>
    </row>
    <row r="26" spans="1:14" ht="21.75" customHeight="1">
      <c r="A26" s="117"/>
      <c r="B26" s="143"/>
      <c r="C26" s="102"/>
      <c r="D26" s="104"/>
      <c r="E26" s="102"/>
      <c r="F26" s="16" t="s">
        <v>13</v>
      </c>
      <c r="G26" s="26">
        <f>H26+I26+J26+K26+L26</f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82"/>
      <c r="N26" s="3"/>
    </row>
    <row r="27" spans="1:14" ht="21.75" customHeight="1">
      <c r="A27" s="117"/>
      <c r="B27" s="143"/>
      <c r="C27" s="102"/>
      <c r="D27" s="104"/>
      <c r="E27" s="102"/>
      <c r="F27" s="16" t="s">
        <v>14</v>
      </c>
      <c r="G27" s="26">
        <f>H27+I27+J27+K27+L27</f>
        <v>92293197.84</v>
      </c>
      <c r="H27" s="26">
        <v>18787671</v>
      </c>
      <c r="I27" s="26">
        <v>19609249.84</v>
      </c>
      <c r="J27" s="26">
        <v>15678454</v>
      </c>
      <c r="K27" s="26">
        <v>20365224</v>
      </c>
      <c r="L27" s="26">
        <v>17852599</v>
      </c>
      <c r="M27" s="82"/>
      <c r="N27" s="3"/>
    </row>
    <row r="28" spans="1:15" ht="21.75" customHeight="1">
      <c r="A28" s="118"/>
      <c r="B28" s="144"/>
      <c r="C28" s="102"/>
      <c r="D28" s="105"/>
      <c r="E28" s="106"/>
      <c r="F28" s="16" t="s">
        <v>15</v>
      </c>
      <c r="G28" s="26">
        <f>H28+I28+J28+K28+L28</f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82"/>
      <c r="O28" s="3"/>
    </row>
    <row r="29" spans="1:14" ht="21.75" customHeight="1">
      <c r="A29" s="116" t="s">
        <v>107</v>
      </c>
      <c r="B29" s="142" t="s">
        <v>108</v>
      </c>
      <c r="C29" s="101" t="s">
        <v>125</v>
      </c>
      <c r="D29" s="103" t="s">
        <v>122</v>
      </c>
      <c r="E29" s="101" t="s">
        <v>106</v>
      </c>
      <c r="F29" s="16" t="s">
        <v>12</v>
      </c>
      <c r="G29" s="26">
        <f aca="true" t="shared" si="7" ref="G29:L29">G30+G31+G32</f>
        <v>43103130.4</v>
      </c>
      <c r="H29" s="26">
        <f t="shared" si="7"/>
        <v>9450400</v>
      </c>
      <c r="I29" s="26">
        <f t="shared" si="7"/>
        <v>9868564</v>
      </c>
      <c r="J29" s="26">
        <f t="shared" si="7"/>
        <v>7326409.38</v>
      </c>
      <c r="K29" s="26">
        <f t="shared" si="7"/>
        <v>8040737.39</v>
      </c>
      <c r="L29" s="26">
        <f t="shared" si="7"/>
        <v>8417019.63</v>
      </c>
      <c r="M29" s="82"/>
      <c r="N29" s="3"/>
    </row>
    <row r="30" spans="1:13" ht="21.75" customHeight="1">
      <c r="A30" s="117"/>
      <c r="B30" s="143"/>
      <c r="C30" s="102"/>
      <c r="D30" s="104"/>
      <c r="E30" s="102"/>
      <c r="F30" s="16" t="s">
        <v>13</v>
      </c>
      <c r="G30" s="26">
        <f>H30+I30+J30+K30+L30</f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82"/>
    </row>
    <row r="31" spans="1:13" ht="21.75" customHeight="1">
      <c r="A31" s="117"/>
      <c r="B31" s="143"/>
      <c r="C31" s="102"/>
      <c r="D31" s="104"/>
      <c r="E31" s="102"/>
      <c r="F31" s="16" t="s">
        <v>14</v>
      </c>
      <c r="G31" s="26">
        <f>H31+I31+J31+K31+L31</f>
        <v>43103130.4</v>
      </c>
      <c r="H31" s="26">
        <v>9450400</v>
      </c>
      <c r="I31" s="26">
        <v>9868564</v>
      </c>
      <c r="J31" s="26">
        <v>7326409.38</v>
      </c>
      <c r="K31" s="26">
        <v>8040737.39</v>
      </c>
      <c r="L31" s="26">
        <v>8417019.63</v>
      </c>
      <c r="M31" s="82"/>
    </row>
    <row r="32" spans="1:15" ht="21.75" customHeight="1">
      <c r="A32" s="118"/>
      <c r="B32" s="144"/>
      <c r="C32" s="102"/>
      <c r="D32" s="105"/>
      <c r="E32" s="106"/>
      <c r="F32" s="16" t="s">
        <v>15</v>
      </c>
      <c r="G32" s="26">
        <f>H32+I32+J32+K32+L32</f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122"/>
      <c r="O32" s="3"/>
    </row>
    <row r="33" spans="1:13" ht="21.75" customHeight="1">
      <c r="A33" s="145" t="s">
        <v>24</v>
      </c>
      <c r="B33" s="148" t="s">
        <v>119</v>
      </c>
      <c r="C33" s="151" t="s">
        <v>125</v>
      </c>
      <c r="D33" s="154" t="s">
        <v>123</v>
      </c>
      <c r="E33" s="151" t="s">
        <v>106</v>
      </c>
      <c r="F33" s="42" t="s">
        <v>12</v>
      </c>
      <c r="G33" s="43">
        <f aca="true" t="shared" si="8" ref="G33:L33">G34+G35+G36</f>
        <v>2717423523.08</v>
      </c>
      <c r="H33" s="43">
        <f t="shared" si="8"/>
        <v>504882065.72</v>
      </c>
      <c r="I33" s="43">
        <f t="shared" si="8"/>
        <v>556352473.55</v>
      </c>
      <c r="J33" s="43">
        <f t="shared" si="8"/>
        <v>537247131.81</v>
      </c>
      <c r="K33" s="43">
        <f t="shared" si="8"/>
        <v>555886993</v>
      </c>
      <c r="L33" s="43">
        <f t="shared" si="8"/>
        <v>563054859</v>
      </c>
      <c r="M33" s="81" t="s">
        <v>187</v>
      </c>
    </row>
    <row r="34" spans="1:41" ht="21.75" customHeight="1">
      <c r="A34" s="146"/>
      <c r="B34" s="149"/>
      <c r="C34" s="152"/>
      <c r="D34" s="155"/>
      <c r="E34" s="152"/>
      <c r="F34" s="42" t="s">
        <v>13</v>
      </c>
      <c r="G34" s="43">
        <f>H34+I34+J34+K34+L34</f>
        <v>624226589.83</v>
      </c>
      <c r="H34" s="43">
        <f>H38+H42+H46+H50+H54+H58+H62+H66+H78+H70</f>
        <v>113653893.15</v>
      </c>
      <c r="I34" s="43">
        <f>I38+I42+I46+I50+I54+I58+I62+I66+I78+I70+I74</f>
        <v>123014167.74000001</v>
      </c>
      <c r="J34" s="43">
        <f>J38+J42+J46+J50+J54+J58+J62+J66+J78+J70+J74</f>
        <v>131250532.94</v>
      </c>
      <c r="K34" s="43">
        <f>K38+K42+K46+K50+K54+K58+K62+K66+K78+K70+K74</f>
        <v>128120829</v>
      </c>
      <c r="L34" s="43">
        <f>L38+L42+L46+L50+L54+L58+L62+L66+L78+L70+L74</f>
        <v>128187167</v>
      </c>
      <c r="M34" s="82"/>
      <c r="AO34" s="3">
        <f>SUM('2021 и бюджет на 2022-24'!$G$33:$AN$80)</f>
        <v>21739388184.640007</v>
      </c>
    </row>
    <row r="35" spans="1:41" ht="21.75" customHeight="1">
      <c r="A35" s="146"/>
      <c r="B35" s="149"/>
      <c r="C35" s="152"/>
      <c r="D35" s="155"/>
      <c r="E35" s="152"/>
      <c r="F35" s="42" t="s">
        <v>14</v>
      </c>
      <c r="G35" s="43">
        <f>H35+I35+J35+K35+L35</f>
        <v>1960115013.25</v>
      </c>
      <c r="H35" s="43">
        <f>H39+H43+H47+H51+H55+H59+H63+H67+H79+H71</f>
        <v>380646772.57</v>
      </c>
      <c r="I35" s="43">
        <f aca="true" t="shared" si="9" ref="I35:L36">I39+I43+I47+I51+I55+I59+I63+I67+I79+I71+I75</f>
        <v>402558955.81</v>
      </c>
      <c r="J35" s="43">
        <f t="shared" si="9"/>
        <v>375717248.87</v>
      </c>
      <c r="K35" s="43">
        <f t="shared" si="9"/>
        <v>397486814</v>
      </c>
      <c r="L35" s="43">
        <f t="shared" si="9"/>
        <v>403705222</v>
      </c>
      <c r="M35" s="82"/>
      <c r="AO35" s="3">
        <f>SUM('2021 и бюджет на 2022-24'!$G$33:$AN$80)</f>
        <v>21739388184.640007</v>
      </c>
    </row>
    <row r="36" spans="1:41" ht="21.75" customHeight="1">
      <c r="A36" s="147"/>
      <c r="B36" s="150"/>
      <c r="C36" s="153"/>
      <c r="D36" s="156"/>
      <c r="E36" s="153"/>
      <c r="F36" s="42" t="s">
        <v>15</v>
      </c>
      <c r="G36" s="43">
        <f>H36+I36+J36+K36+L36</f>
        <v>133081920</v>
      </c>
      <c r="H36" s="43">
        <f>H40+H44+H48+H52+H56+H60+H64+H68+H80+H72</f>
        <v>10581400</v>
      </c>
      <c r="I36" s="43">
        <f t="shared" si="9"/>
        <v>30779350</v>
      </c>
      <c r="J36" s="43">
        <f t="shared" si="9"/>
        <v>30279350</v>
      </c>
      <c r="K36" s="43">
        <f t="shared" si="9"/>
        <v>30279350</v>
      </c>
      <c r="L36" s="43">
        <f t="shared" si="9"/>
        <v>31162470</v>
      </c>
      <c r="M36" s="82"/>
      <c r="AO36" s="3">
        <f>SUM('2021 и бюджет на 2022-24'!$G$33:$AN$80)</f>
        <v>21739388184.640007</v>
      </c>
    </row>
    <row r="37" spans="1:41" ht="21.75" customHeight="1">
      <c r="A37" s="116" t="s">
        <v>25</v>
      </c>
      <c r="B37" s="98" t="s">
        <v>26</v>
      </c>
      <c r="C37" s="101" t="s">
        <v>125</v>
      </c>
      <c r="D37" s="103" t="s">
        <v>123</v>
      </c>
      <c r="E37" s="101" t="s">
        <v>106</v>
      </c>
      <c r="F37" s="16" t="s">
        <v>12</v>
      </c>
      <c r="G37" s="26">
        <f aca="true" t="shared" si="10" ref="G37:L37">G38+G39+G40</f>
        <v>3250000</v>
      </c>
      <c r="H37" s="26">
        <f t="shared" si="10"/>
        <v>650000</v>
      </c>
      <c r="I37" s="26">
        <f t="shared" si="10"/>
        <v>650000</v>
      </c>
      <c r="J37" s="26">
        <f t="shared" si="10"/>
        <v>650000</v>
      </c>
      <c r="K37" s="26">
        <f t="shared" si="10"/>
        <v>650000</v>
      </c>
      <c r="L37" s="26">
        <f t="shared" si="10"/>
        <v>650000</v>
      </c>
      <c r="M37" s="82"/>
      <c r="AO37" s="3">
        <f>SUM('2021 и бюджет на 2022-24'!$G$33:$AN$80)</f>
        <v>21739388184.640007</v>
      </c>
    </row>
    <row r="38" spans="1:41" ht="21.75" customHeight="1">
      <c r="A38" s="117"/>
      <c r="B38" s="99"/>
      <c r="C38" s="102"/>
      <c r="D38" s="104"/>
      <c r="E38" s="102"/>
      <c r="F38" s="16" t="s">
        <v>13</v>
      </c>
      <c r="G38" s="26">
        <f>H38+I38+J38+K38+L38</f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82"/>
      <c r="AO38" s="3">
        <f>SUM(AO34:AO37)</f>
        <v>86957552738.56003</v>
      </c>
    </row>
    <row r="39" spans="1:13" ht="21.75" customHeight="1">
      <c r="A39" s="117"/>
      <c r="B39" s="99"/>
      <c r="C39" s="102"/>
      <c r="D39" s="104"/>
      <c r="E39" s="102"/>
      <c r="F39" s="16" t="s">
        <v>14</v>
      </c>
      <c r="G39" s="26">
        <f>H39+I39+J39+K39+L39</f>
        <v>3250000</v>
      </c>
      <c r="H39" s="26">
        <v>650000</v>
      </c>
      <c r="I39" s="26">
        <v>650000</v>
      </c>
      <c r="J39" s="26">
        <v>650000</v>
      </c>
      <c r="K39" s="26">
        <v>650000</v>
      </c>
      <c r="L39" s="26">
        <v>650000</v>
      </c>
      <c r="M39" s="82"/>
    </row>
    <row r="40" spans="1:14" ht="21.75" customHeight="1">
      <c r="A40" s="118"/>
      <c r="B40" s="100"/>
      <c r="C40" s="102"/>
      <c r="D40" s="105"/>
      <c r="E40" s="106"/>
      <c r="F40" s="16" t="s">
        <v>15</v>
      </c>
      <c r="G40" s="26">
        <f>H40+I40+J40+K40+L40</f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82"/>
      <c r="N40" s="3"/>
    </row>
    <row r="41" spans="1:15" ht="21.75" customHeight="1">
      <c r="A41" s="116" t="s">
        <v>27</v>
      </c>
      <c r="B41" s="98" t="s">
        <v>28</v>
      </c>
      <c r="C41" s="101" t="s">
        <v>125</v>
      </c>
      <c r="D41" s="103" t="s">
        <v>123</v>
      </c>
      <c r="E41" s="101" t="s">
        <v>106</v>
      </c>
      <c r="F41" s="16" t="s">
        <v>12</v>
      </c>
      <c r="G41" s="26">
        <f aca="true" t="shared" si="11" ref="G41:L41">G42+G43+G44</f>
        <v>43621689</v>
      </c>
      <c r="H41" s="26">
        <f t="shared" si="11"/>
        <v>8744137</v>
      </c>
      <c r="I41" s="26">
        <f t="shared" si="11"/>
        <v>8816768</v>
      </c>
      <c r="J41" s="26">
        <f t="shared" si="11"/>
        <v>8686928</v>
      </c>
      <c r="K41" s="26">
        <f t="shared" si="11"/>
        <v>8686928</v>
      </c>
      <c r="L41" s="26">
        <f t="shared" si="11"/>
        <v>8686928</v>
      </c>
      <c r="M41" s="82"/>
      <c r="O41" s="3"/>
    </row>
    <row r="42" spans="1:13" ht="21.75" customHeight="1">
      <c r="A42" s="117"/>
      <c r="B42" s="99"/>
      <c r="C42" s="102"/>
      <c r="D42" s="104"/>
      <c r="E42" s="102"/>
      <c r="F42" s="16" t="s">
        <v>13</v>
      </c>
      <c r="G42" s="26">
        <f>H42+I42+J42+K42+L42</f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82"/>
    </row>
    <row r="43" spans="1:14" ht="21.75" customHeight="1">
      <c r="A43" s="117"/>
      <c r="B43" s="99"/>
      <c r="C43" s="102"/>
      <c r="D43" s="104"/>
      <c r="E43" s="102"/>
      <c r="F43" s="16" t="s">
        <v>14</v>
      </c>
      <c r="G43" s="26">
        <f>H43+I43+J43+K43+L43</f>
        <v>43621689</v>
      </c>
      <c r="H43" s="26">
        <v>8744137</v>
      </c>
      <c r="I43" s="26">
        <f>8816768</f>
        <v>8816768</v>
      </c>
      <c r="J43" s="26">
        <v>8686928</v>
      </c>
      <c r="K43" s="26">
        <v>8686928</v>
      </c>
      <c r="L43" s="26">
        <v>8686928</v>
      </c>
      <c r="M43" s="82"/>
      <c r="N43" s="6">
        <f>'[1]9 мес 2021'!$H$25-I43</f>
        <v>0</v>
      </c>
    </row>
    <row r="44" spans="1:14" ht="21.75" customHeight="1">
      <c r="A44" s="118"/>
      <c r="B44" s="100"/>
      <c r="C44" s="102"/>
      <c r="D44" s="105"/>
      <c r="E44" s="106"/>
      <c r="F44" s="16" t="s">
        <v>15</v>
      </c>
      <c r="G44" s="26">
        <f>H44+I44+J44+K44+L44</f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82"/>
      <c r="N44" s="7"/>
    </row>
    <row r="45" spans="1:14" ht="21.75" customHeight="1">
      <c r="A45" s="116" t="s">
        <v>29</v>
      </c>
      <c r="B45" s="98" t="s">
        <v>31</v>
      </c>
      <c r="C45" s="101" t="s">
        <v>125</v>
      </c>
      <c r="D45" s="103" t="s">
        <v>123</v>
      </c>
      <c r="E45" s="101" t="s">
        <v>106</v>
      </c>
      <c r="F45" s="16" t="s">
        <v>12</v>
      </c>
      <c r="G45" s="26">
        <f aca="true" t="shared" si="12" ref="G45:L45">G46+G47+G48</f>
        <v>9455460</v>
      </c>
      <c r="H45" s="26">
        <f t="shared" si="12"/>
        <v>1891092</v>
      </c>
      <c r="I45" s="26">
        <f t="shared" si="12"/>
        <v>1891092</v>
      </c>
      <c r="J45" s="26">
        <f t="shared" si="12"/>
        <v>1891092</v>
      </c>
      <c r="K45" s="26">
        <f t="shared" si="12"/>
        <v>1891092</v>
      </c>
      <c r="L45" s="26">
        <f t="shared" si="12"/>
        <v>1891092</v>
      </c>
      <c r="M45" s="82"/>
      <c r="N45" s="7"/>
    </row>
    <row r="46" spans="1:14" ht="21.75" customHeight="1">
      <c r="A46" s="117"/>
      <c r="B46" s="99"/>
      <c r="C46" s="102"/>
      <c r="D46" s="104"/>
      <c r="E46" s="102"/>
      <c r="F46" s="16" t="s">
        <v>13</v>
      </c>
      <c r="G46" s="26">
        <f>H46+I46+J46+K46+L46</f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82"/>
      <c r="N46" s="7"/>
    </row>
    <row r="47" spans="1:14" ht="21.75" customHeight="1">
      <c r="A47" s="117"/>
      <c r="B47" s="99"/>
      <c r="C47" s="102"/>
      <c r="D47" s="104"/>
      <c r="E47" s="102"/>
      <c r="F47" s="16" t="s">
        <v>14</v>
      </c>
      <c r="G47" s="26">
        <f>H47+I47+J47+K47+L47</f>
        <v>9455460</v>
      </c>
      <c r="H47" s="26">
        <v>1891092</v>
      </c>
      <c r="I47" s="26">
        <v>1891092</v>
      </c>
      <c r="J47" s="26">
        <v>1891092</v>
      </c>
      <c r="K47" s="26">
        <v>1891092</v>
      </c>
      <c r="L47" s="26">
        <v>1891092</v>
      </c>
      <c r="M47" s="82"/>
      <c r="N47" s="6"/>
    </row>
    <row r="48" spans="1:13" ht="21.75" customHeight="1">
      <c r="A48" s="118"/>
      <c r="B48" s="100"/>
      <c r="C48" s="102"/>
      <c r="D48" s="105"/>
      <c r="E48" s="106"/>
      <c r="F48" s="16" t="s">
        <v>15</v>
      </c>
      <c r="G48" s="26">
        <f>H48+I48+J48+K48+L48</f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82"/>
    </row>
    <row r="49" spans="1:14" ht="21.75" customHeight="1">
      <c r="A49" s="116" t="s">
        <v>30</v>
      </c>
      <c r="B49" s="142" t="s">
        <v>33</v>
      </c>
      <c r="C49" s="101" t="s">
        <v>125</v>
      </c>
      <c r="D49" s="103" t="s">
        <v>123</v>
      </c>
      <c r="E49" s="101" t="s">
        <v>106</v>
      </c>
      <c r="F49" s="16" t="s">
        <v>12</v>
      </c>
      <c r="G49" s="26">
        <f aca="true" t="shared" si="13" ref="G49:L49">G50+G51+G52</f>
        <v>2362860500.1099997</v>
      </c>
      <c r="H49" s="26">
        <f t="shared" si="13"/>
        <v>459249705.72</v>
      </c>
      <c r="I49" s="26">
        <f t="shared" si="13"/>
        <v>476025095.39</v>
      </c>
      <c r="J49" s="26">
        <f t="shared" si="13"/>
        <v>465047181</v>
      </c>
      <c r="K49" s="26">
        <f t="shared" si="13"/>
        <v>475658598</v>
      </c>
      <c r="L49" s="26">
        <f t="shared" si="13"/>
        <v>486879920</v>
      </c>
      <c r="M49" s="82"/>
      <c r="N49" s="3"/>
    </row>
    <row r="50" spans="1:15" ht="21.75" customHeight="1">
      <c r="A50" s="117"/>
      <c r="B50" s="143"/>
      <c r="C50" s="102"/>
      <c r="D50" s="104"/>
      <c r="E50" s="102"/>
      <c r="F50" s="16" t="s">
        <v>13</v>
      </c>
      <c r="G50" s="26">
        <f>H50+I50+J50+K50+L50</f>
        <v>611760473.04</v>
      </c>
      <c r="H50" s="26">
        <v>111005611.15</v>
      </c>
      <c r="I50" s="26">
        <f>112774045.47+5964026+1921557.81+130535.61</f>
        <v>120790164.89</v>
      </c>
      <c r="J50" s="26">
        <v>128679717</v>
      </c>
      <c r="K50" s="26">
        <v>125609321</v>
      </c>
      <c r="L50" s="26">
        <v>125675659</v>
      </c>
      <c r="M50" s="82"/>
      <c r="O50" s="8"/>
    </row>
    <row r="51" spans="1:14" ht="21.75" customHeight="1">
      <c r="A51" s="117"/>
      <c r="B51" s="143"/>
      <c r="C51" s="102"/>
      <c r="D51" s="104"/>
      <c r="E51" s="102"/>
      <c r="F51" s="16" t="s">
        <v>14</v>
      </c>
      <c r="G51" s="26">
        <f>H51+I51+J51+K51+L51</f>
        <v>1740518627.07</v>
      </c>
      <c r="H51" s="26">
        <f>349241007.57-293084-H39-H43-H47</f>
        <v>337662694.57</v>
      </c>
      <c r="I51" s="26">
        <f>366885874.5-I39-I47-I43-293084</f>
        <v>355234930.5</v>
      </c>
      <c r="J51" s="26">
        <f>347896678-301194-J39-J43-J47-J67</f>
        <v>336367464</v>
      </c>
      <c r="K51" s="26">
        <f>361578491-301194-K39-K43-K47-K67</f>
        <v>350049277</v>
      </c>
      <c r="L51" s="26">
        <f>372733475-301194-L39-L43-L47-L67</f>
        <v>361204261</v>
      </c>
      <c r="M51" s="82"/>
      <c r="N51" s="3"/>
    </row>
    <row r="52" spans="1:15" ht="21.75" customHeight="1">
      <c r="A52" s="118"/>
      <c r="B52" s="144"/>
      <c r="C52" s="102"/>
      <c r="D52" s="105"/>
      <c r="E52" s="106"/>
      <c r="F52" s="16" t="s">
        <v>15</v>
      </c>
      <c r="G52" s="26">
        <f>H52+I52+J52+K52+L52</f>
        <v>10581400</v>
      </c>
      <c r="H52" s="26">
        <v>10581400</v>
      </c>
      <c r="I52" s="26">
        <v>0</v>
      </c>
      <c r="J52" s="26">
        <v>0</v>
      </c>
      <c r="K52" s="26">
        <v>0</v>
      </c>
      <c r="L52" s="26">
        <v>0</v>
      </c>
      <c r="M52" s="82"/>
      <c r="N52" s="7"/>
      <c r="O52" s="9"/>
    </row>
    <row r="53" spans="1:13" ht="21.75" customHeight="1">
      <c r="A53" s="116" t="s">
        <v>32</v>
      </c>
      <c r="B53" s="142" t="s">
        <v>21</v>
      </c>
      <c r="C53" s="101" t="s">
        <v>125</v>
      </c>
      <c r="D53" s="103" t="s">
        <v>123</v>
      </c>
      <c r="E53" s="101" t="s">
        <v>106</v>
      </c>
      <c r="F53" s="16" t="s">
        <v>12</v>
      </c>
      <c r="G53" s="26">
        <f aca="true" t="shared" si="14" ref="G53:L53">G54+G55+G56</f>
        <v>5370117.65</v>
      </c>
      <c r="H53" s="26">
        <f t="shared" si="14"/>
        <v>1006307</v>
      </c>
      <c r="I53" s="26">
        <f t="shared" si="14"/>
        <v>1385373.84</v>
      </c>
      <c r="J53" s="26">
        <f t="shared" si="14"/>
        <v>965822.81</v>
      </c>
      <c r="K53" s="26">
        <f t="shared" si="14"/>
        <v>1006307</v>
      </c>
      <c r="L53" s="26">
        <f t="shared" si="14"/>
        <v>1006307</v>
      </c>
      <c r="M53" s="82"/>
    </row>
    <row r="54" spans="1:13" ht="21.75" customHeight="1">
      <c r="A54" s="117"/>
      <c r="B54" s="143"/>
      <c r="C54" s="102"/>
      <c r="D54" s="104"/>
      <c r="E54" s="102"/>
      <c r="F54" s="16" t="s">
        <v>13</v>
      </c>
      <c r="G54" s="26">
        <f>H54+I54+J54+K54+L54</f>
        <v>5370117.65</v>
      </c>
      <c r="H54" s="26">
        <v>1006307</v>
      </c>
      <c r="I54" s="26">
        <f>1199420.42+157723.37+28230.05</f>
        <v>1385373.84</v>
      </c>
      <c r="J54" s="26">
        <v>965822.81</v>
      </c>
      <c r="K54" s="26">
        <f>1006307</f>
        <v>1006307</v>
      </c>
      <c r="L54" s="26">
        <v>1006307</v>
      </c>
      <c r="M54" s="82"/>
    </row>
    <row r="55" spans="1:13" ht="21.75" customHeight="1">
      <c r="A55" s="117"/>
      <c r="B55" s="143"/>
      <c r="C55" s="102"/>
      <c r="D55" s="104"/>
      <c r="E55" s="102"/>
      <c r="F55" s="16" t="s">
        <v>14</v>
      </c>
      <c r="G55" s="26">
        <f>H55+I55+J55+K55+L55</f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82"/>
    </row>
    <row r="56" spans="1:13" ht="21.75" customHeight="1">
      <c r="A56" s="118"/>
      <c r="B56" s="144"/>
      <c r="C56" s="102"/>
      <c r="D56" s="105"/>
      <c r="E56" s="106"/>
      <c r="F56" s="16" t="s">
        <v>15</v>
      </c>
      <c r="G56" s="26">
        <f>H56+I56+J56+K56+L56</f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82"/>
    </row>
    <row r="57" spans="1:13" ht="21.75" customHeight="1">
      <c r="A57" s="116" t="s">
        <v>34</v>
      </c>
      <c r="B57" s="142" t="s">
        <v>23</v>
      </c>
      <c r="C57" s="101" t="s">
        <v>125</v>
      </c>
      <c r="D57" s="103" t="s">
        <v>123</v>
      </c>
      <c r="E57" s="101" t="s">
        <v>106</v>
      </c>
      <c r="F57" s="16" t="s">
        <v>12</v>
      </c>
      <c r="G57" s="26">
        <f aca="true" t="shared" si="15" ref="G57:L57">G58+G59+G60</f>
        <v>163594599.87</v>
      </c>
      <c r="H57" s="26">
        <f t="shared" si="15"/>
        <v>31798849</v>
      </c>
      <c r="I57" s="26">
        <f t="shared" si="15"/>
        <v>36091735.87</v>
      </c>
      <c r="J57" s="26">
        <f t="shared" si="15"/>
        <v>28221557</v>
      </c>
      <c r="K57" s="26">
        <f t="shared" si="15"/>
        <v>36209517</v>
      </c>
      <c r="L57" s="26">
        <f t="shared" si="15"/>
        <v>31272941</v>
      </c>
      <c r="M57" s="82"/>
    </row>
    <row r="58" spans="1:13" ht="21.75" customHeight="1">
      <c r="A58" s="117"/>
      <c r="B58" s="143"/>
      <c r="C58" s="102"/>
      <c r="D58" s="104"/>
      <c r="E58" s="102"/>
      <c r="F58" s="16" t="s">
        <v>13</v>
      </c>
      <c r="G58" s="26">
        <f>H58+I58+J58+K58+L58</f>
        <v>325362.69</v>
      </c>
      <c r="H58" s="26">
        <v>100000</v>
      </c>
      <c r="I58" s="26">
        <f>101833.11+23737.45</f>
        <v>125570.56</v>
      </c>
      <c r="J58" s="26">
        <v>99792.13</v>
      </c>
      <c r="K58" s="26">
        <v>0</v>
      </c>
      <c r="L58" s="26">
        <v>0</v>
      </c>
      <c r="M58" s="82"/>
    </row>
    <row r="59" spans="1:13" ht="21.75" customHeight="1">
      <c r="A59" s="117"/>
      <c r="B59" s="143"/>
      <c r="C59" s="102"/>
      <c r="D59" s="104"/>
      <c r="E59" s="102"/>
      <c r="F59" s="16" t="s">
        <v>14</v>
      </c>
      <c r="G59" s="26">
        <f>H59+I59+J59+K59+L59</f>
        <v>163269237.18</v>
      </c>
      <c r="H59" s="26">
        <v>31698849</v>
      </c>
      <c r="I59" s="26">
        <f>35963535.87+2629.44</f>
        <v>35966165.309999995</v>
      </c>
      <c r="J59" s="26">
        <f>28119724+2040.87</f>
        <v>28121764.87</v>
      </c>
      <c r="K59" s="26">
        <v>36209517</v>
      </c>
      <c r="L59" s="26">
        <v>31272941</v>
      </c>
      <c r="M59" s="82"/>
    </row>
    <row r="60" spans="1:13" ht="21.75" customHeight="1">
      <c r="A60" s="118"/>
      <c r="B60" s="144"/>
      <c r="C60" s="102"/>
      <c r="D60" s="105"/>
      <c r="E60" s="106"/>
      <c r="F60" s="16" t="s">
        <v>15</v>
      </c>
      <c r="G60" s="26">
        <f>H60+I60+J60+K60+L60</f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82"/>
    </row>
    <row r="61" spans="1:13" ht="21.75" customHeight="1">
      <c r="A61" s="116" t="s">
        <v>35</v>
      </c>
      <c r="B61" s="98" t="s">
        <v>37</v>
      </c>
      <c r="C61" s="101" t="s">
        <v>125</v>
      </c>
      <c r="D61" s="119" t="s">
        <v>124</v>
      </c>
      <c r="E61" s="101" t="s">
        <v>106</v>
      </c>
      <c r="F61" s="16" t="s">
        <v>12</v>
      </c>
      <c r="G61" s="26">
        <f aca="true" t="shared" si="16" ref="G61:L61">G62+G63+G64</f>
        <v>4800503.45</v>
      </c>
      <c r="H61" s="26">
        <f t="shared" si="16"/>
        <v>1481975</v>
      </c>
      <c r="I61" s="26">
        <f t="shared" si="16"/>
        <v>653058.45</v>
      </c>
      <c r="J61" s="26">
        <f t="shared" si="16"/>
        <v>888490</v>
      </c>
      <c r="K61" s="26">
        <f t="shared" si="16"/>
        <v>888490</v>
      </c>
      <c r="L61" s="26">
        <f t="shared" si="16"/>
        <v>888490</v>
      </c>
      <c r="M61" s="82"/>
    </row>
    <row r="62" spans="1:13" ht="21.75" customHeight="1">
      <c r="A62" s="117"/>
      <c r="B62" s="99"/>
      <c r="C62" s="102"/>
      <c r="D62" s="120"/>
      <c r="E62" s="102"/>
      <c r="F62" s="16" t="s">
        <v>13</v>
      </c>
      <c r="G62" s="26">
        <f>H62+I62+J62+K62+L62</f>
        <v>4800503.45</v>
      </c>
      <c r="H62" s="26">
        <v>1481975</v>
      </c>
      <c r="I62" s="26">
        <f>1481975-602271.91-226644.64</f>
        <v>653058.45</v>
      </c>
      <c r="J62" s="26">
        <v>888490</v>
      </c>
      <c r="K62" s="26">
        <v>888490</v>
      </c>
      <c r="L62" s="26">
        <v>888490</v>
      </c>
      <c r="M62" s="82"/>
    </row>
    <row r="63" spans="1:13" ht="21.75" customHeight="1">
      <c r="A63" s="117"/>
      <c r="B63" s="99"/>
      <c r="C63" s="102"/>
      <c r="D63" s="120"/>
      <c r="E63" s="102"/>
      <c r="F63" s="16" t="s">
        <v>14</v>
      </c>
      <c r="G63" s="26">
        <f>H63+I63+J63+K63+L63</f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82"/>
    </row>
    <row r="64" spans="1:13" ht="21.75" customHeight="1">
      <c r="A64" s="118"/>
      <c r="B64" s="100"/>
      <c r="C64" s="102"/>
      <c r="D64" s="121"/>
      <c r="E64" s="106"/>
      <c r="F64" s="16" t="s">
        <v>15</v>
      </c>
      <c r="G64" s="26">
        <f>H64+I64+J64+K64+L64</f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82"/>
    </row>
    <row r="65" spans="1:13" ht="21.75" customHeight="1">
      <c r="A65" s="116" t="s">
        <v>36</v>
      </c>
      <c r="B65" s="98" t="s">
        <v>39</v>
      </c>
      <c r="C65" s="101" t="s">
        <v>125</v>
      </c>
      <c r="D65" s="103" t="s">
        <v>123</v>
      </c>
      <c r="E65" s="101" t="s">
        <v>106</v>
      </c>
      <c r="F65" s="16" t="s">
        <v>12</v>
      </c>
      <c r="G65" s="26">
        <f aca="true" t="shared" si="17" ref="G65:L65">G66+G67+G68</f>
        <v>0</v>
      </c>
      <c r="H65" s="26">
        <f t="shared" si="17"/>
        <v>0</v>
      </c>
      <c r="I65" s="26">
        <f t="shared" si="17"/>
        <v>0</v>
      </c>
      <c r="J65" s="26">
        <f t="shared" si="17"/>
        <v>0</v>
      </c>
      <c r="K65" s="26">
        <f t="shared" si="17"/>
        <v>0</v>
      </c>
      <c r="L65" s="26">
        <f t="shared" si="17"/>
        <v>0</v>
      </c>
      <c r="M65" s="82"/>
    </row>
    <row r="66" spans="1:13" ht="21.75" customHeight="1">
      <c r="A66" s="117"/>
      <c r="B66" s="99"/>
      <c r="C66" s="102"/>
      <c r="D66" s="104"/>
      <c r="E66" s="102"/>
      <c r="F66" s="16" t="s">
        <v>13</v>
      </c>
      <c r="G66" s="26">
        <f>H66+I66+J66+K66+L66</f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82"/>
    </row>
    <row r="67" spans="1:13" ht="21.75" customHeight="1">
      <c r="A67" s="117"/>
      <c r="B67" s="99"/>
      <c r="C67" s="102"/>
      <c r="D67" s="104"/>
      <c r="E67" s="102"/>
      <c r="F67" s="16" t="s">
        <v>14</v>
      </c>
      <c r="G67" s="26">
        <f>H67+I67+J67+K67+L67</f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82"/>
    </row>
    <row r="68" spans="1:13" ht="21.75" customHeight="1">
      <c r="A68" s="118"/>
      <c r="B68" s="100"/>
      <c r="C68" s="102"/>
      <c r="D68" s="105"/>
      <c r="E68" s="106"/>
      <c r="F68" s="16" t="s">
        <v>15</v>
      </c>
      <c r="G68" s="26">
        <f>H68+I68+J68+K68+L68</f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82"/>
    </row>
    <row r="69" spans="1:13" ht="21.75" customHeight="1">
      <c r="A69" s="116" t="s">
        <v>38</v>
      </c>
      <c r="B69" s="142" t="s">
        <v>185</v>
      </c>
      <c r="C69" s="101" t="s">
        <v>125</v>
      </c>
      <c r="D69" s="103" t="s">
        <v>123</v>
      </c>
      <c r="E69" s="101" t="s">
        <v>106</v>
      </c>
      <c r="F69" s="16" t="s">
        <v>12</v>
      </c>
      <c r="G69" s="26">
        <f aca="true" t="shared" si="18" ref="G69:L69">G70+G71+G72</f>
        <v>122500520</v>
      </c>
      <c r="H69" s="26">
        <f t="shared" si="18"/>
        <v>0</v>
      </c>
      <c r="I69" s="26">
        <f t="shared" si="18"/>
        <v>30779350</v>
      </c>
      <c r="J69" s="26">
        <f t="shared" si="18"/>
        <v>30279350</v>
      </c>
      <c r="K69" s="26">
        <f t="shared" si="18"/>
        <v>30279350</v>
      </c>
      <c r="L69" s="26">
        <f t="shared" si="18"/>
        <v>31162470</v>
      </c>
      <c r="M69" s="82"/>
    </row>
    <row r="70" spans="1:13" ht="21.75" customHeight="1">
      <c r="A70" s="117"/>
      <c r="B70" s="143"/>
      <c r="C70" s="102"/>
      <c r="D70" s="104"/>
      <c r="E70" s="102"/>
      <c r="F70" s="16" t="s">
        <v>13</v>
      </c>
      <c r="G70" s="26">
        <f>H70+I70+J70+K70+L70</f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82"/>
    </row>
    <row r="71" spans="1:13" ht="21.75" customHeight="1">
      <c r="A71" s="117"/>
      <c r="B71" s="143"/>
      <c r="C71" s="102"/>
      <c r="D71" s="104"/>
      <c r="E71" s="102"/>
      <c r="F71" s="16" t="s">
        <v>14</v>
      </c>
      <c r="G71" s="26">
        <f>H71+I71+J71+K71+L71</f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82"/>
    </row>
    <row r="72" spans="1:13" ht="21.75" customHeight="1">
      <c r="A72" s="118"/>
      <c r="B72" s="144"/>
      <c r="C72" s="102"/>
      <c r="D72" s="105"/>
      <c r="E72" s="106"/>
      <c r="F72" s="16" t="s">
        <v>15</v>
      </c>
      <c r="G72" s="26">
        <f>H72+I72+J72+K72+L72</f>
        <v>122500520</v>
      </c>
      <c r="H72" s="26">
        <v>0</v>
      </c>
      <c r="I72" s="26">
        <v>30779350</v>
      </c>
      <c r="J72" s="26">
        <v>30279350</v>
      </c>
      <c r="K72" s="26">
        <v>30279350</v>
      </c>
      <c r="L72" s="26">
        <v>31162470</v>
      </c>
      <c r="M72" s="82"/>
    </row>
    <row r="73" spans="1:13" ht="21.75" customHeight="1">
      <c r="A73" s="95" t="s">
        <v>183</v>
      </c>
      <c r="B73" s="98" t="s">
        <v>182</v>
      </c>
      <c r="C73" s="101" t="s">
        <v>125</v>
      </c>
      <c r="D73" s="103" t="s">
        <v>135</v>
      </c>
      <c r="E73" s="101" t="s">
        <v>106</v>
      </c>
      <c r="F73" s="16" t="s">
        <v>12</v>
      </c>
      <c r="G73" s="26">
        <f aca="true" t="shared" si="19" ref="G73:L73">G74+G75+G76</f>
        <v>1670133</v>
      </c>
      <c r="H73" s="26">
        <f t="shared" si="19"/>
        <v>0</v>
      </c>
      <c r="I73" s="26">
        <f t="shared" si="19"/>
        <v>0</v>
      </c>
      <c r="J73" s="26">
        <f t="shared" si="19"/>
        <v>556711</v>
      </c>
      <c r="K73" s="26">
        <f t="shared" si="19"/>
        <v>556711</v>
      </c>
      <c r="L73" s="26">
        <f t="shared" si="19"/>
        <v>556711</v>
      </c>
      <c r="M73" s="82"/>
    </row>
    <row r="74" spans="1:13" ht="21.75" customHeight="1">
      <c r="A74" s="96"/>
      <c r="B74" s="99"/>
      <c r="C74" s="102"/>
      <c r="D74" s="104"/>
      <c r="E74" s="102"/>
      <c r="F74" s="16" t="s">
        <v>13</v>
      </c>
      <c r="G74" s="26">
        <f>H74+I74+J74+K74+L74</f>
        <v>1670133</v>
      </c>
      <c r="H74" s="26"/>
      <c r="I74" s="26"/>
      <c r="J74" s="26">
        <v>556711</v>
      </c>
      <c r="K74" s="26">
        <v>556711</v>
      </c>
      <c r="L74" s="26">
        <v>556711</v>
      </c>
      <c r="M74" s="82"/>
    </row>
    <row r="75" spans="1:13" ht="21.75" customHeight="1">
      <c r="A75" s="96"/>
      <c r="B75" s="99"/>
      <c r="C75" s="102"/>
      <c r="D75" s="104"/>
      <c r="E75" s="102"/>
      <c r="F75" s="16" t="s">
        <v>14</v>
      </c>
      <c r="G75" s="26">
        <f>H75+I75+J75+K75+L75</f>
        <v>0</v>
      </c>
      <c r="H75" s="26"/>
      <c r="I75" s="26"/>
      <c r="J75" s="26">
        <v>0</v>
      </c>
      <c r="K75" s="26">
        <v>0</v>
      </c>
      <c r="L75" s="26">
        <v>0</v>
      </c>
      <c r="M75" s="82"/>
    </row>
    <row r="76" spans="1:13" ht="21.75" customHeight="1">
      <c r="A76" s="97"/>
      <c r="B76" s="100"/>
      <c r="C76" s="102"/>
      <c r="D76" s="105"/>
      <c r="E76" s="106"/>
      <c r="F76" s="16" t="s">
        <v>15</v>
      </c>
      <c r="G76" s="26">
        <f>H76+I76+J76+K76+L76</f>
        <v>0</v>
      </c>
      <c r="H76" s="26"/>
      <c r="I76" s="26"/>
      <c r="J76" s="26">
        <v>0</v>
      </c>
      <c r="K76" s="26">
        <v>0</v>
      </c>
      <c r="L76" s="26">
        <v>0</v>
      </c>
      <c r="M76" s="82"/>
    </row>
    <row r="77" spans="1:13" ht="21.75" customHeight="1">
      <c r="A77" s="61"/>
      <c r="B77" s="98" t="s">
        <v>83</v>
      </c>
      <c r="C77" s="101" t="s">
        <v>125</v>
      </c>
      <c r="D77" s="119" t="s">
        <v>124</v>
      </c>
      <c r="E77" s="101" t="s">
        <v>106</v>
      </c>
      <c r="F77" s="16" t="s">
        <v>12</v>
      </c>
      <c r="G77" s="26">
        <f aca="true" t="shared" si="20" ref="G77:L77">G78+G79+G80</f>
        <v>300000</v>
      </c>
      <c r="H77" s="26">
        <f>H78+H79+H80</f>
        <v>60000</v>
      </c>
      <c r="I77" s="26">
        <f>I78+I79+I80</f>
        <v>60000</v>
      </c>
      <c r="J77" s="26">
        <f>J78+J79+J80</f>
        <v>60000</v>
      </c>
      <c r="K77" s="26">
        <f t="shared" si="20"/>
        <v>60000</v>
      </c>
      <c r="L77" s="26">
        <f t="shared" si="20"/>
        <v>60000</v>
      </c>
      <c r="M77" s="82"/>
    </row>
    <row r="78" spans="1:13" ht="21.75" customHeight="1">
      <c r="A78" s="61"/>
      <c r="B78" s="99"/>
      <c r="C78" s="102"/>
      <c r="D78" s="120"/>
      <c r="E78" s="102"/>
      <c r="F78" s="16" t="s">
        <v>13</v>
      </c>
      <c r="G78" s="26">
        <f>H78+I78+J78+K78+L78</f>
        <v>300000</v>
      </c>
      <c r="H78" s="26">
        <v>60000</v>
      </c>
      <c r="I78" s="26">
        <v>60000</v>
      </c>
      <c r="J78" s="26">
        <v>60000</v>
      </c>
      <c r="K78" s="26">
        <v>60000</v>
      </c>
      <c r="L78" s="26">
        <v>60000</v>
      </c>
      <c r="M78" s="82"/>
    </row>
    <row r="79" spans="1:13" ht="21.75" customHeight="1">
      <c r="A79" s="63" t="s">
        <v>186</v>
      </c>
      <c r="B79" s="99"/>
      <c r="C79" s="102"/>
      <c r="D79" s="120"/>
      <c r="E79" s="102"/>
      <c r="F79" s="16" t="s">
        <v>14</v>
      </c>
      <c r="G79" s="26">
        <f>H79+I79+J79+K79+L79</f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82"/>
    </row>
    <row r="80" spans="1:13" ht="21.75" customHeight="1">
      <c r="A80" s="61"/>
      <c r="B80" s="100"/>
      <c r="C80" s="102"/>
      <c r="D80" s="121"/>
      <c r="E80" s="106"/>
      <c r="F80" s="16" t="s">
        <v>15</v>
      </c>
      <c r="G80" s="26">
        <f>H80+I80+J80+K80+L80</f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122"/>
    </row>
    <row r="81" spans="1:13" ht="21.75" customHeight="1">
      <c r="A81" s="145" t="s">
        <v>40</v>
      </c>
      <c r="B81" s="148" t="s">
        <v>41</v>
      </c>
      <c r="C81" s="151" t="s">
        <v>125</v>
      </c>
      <c r="D81" s="154" t="s">
        <v>135</v>
      </c>
      <c r="E81" s="151" t="s">
        <v>106</v>
      </c>
      <c r="F81" s="42" t="s">
        <v>12</v>
      </c>
      <c r="G81" s="43">
        <f aca="true" t="shared" si="21" ref="G81:L81">G82+G83+G84</f>
        <v>4765804</v>
      </c>
      <c r="H81" s="43">
        <f>H82+H83+H84</f>
        <v>943488</v>
      </c>
      <c r="I81" s="43">
        <f>I82+I83+I84</f>
        <v>953488</v>
      </c>
      <c r="J81" s="43">
        <f>J82+J83+J84</f>
        <v>956276</v>
      </c>
      <c r="K81" s="43">
        <f t="shared" si="21"/>
        <v>956276</v>
      </c>
      <c r="L81" s="43">
        <f t="shared" si="21"/>
        <v>956276</v>
      </c>
      <c r="M81" s="81" t="s">
        <v>150</v>
      </c>
    </row>
    <row r="82" spans="1:13" ht="21.75" customHeight="1">
      <c r="A82" s="146"/>
      <c r="B82" s="149"/>
      <c r="C82" s="152"/>
      <c r="D82" s="155"/>
      <c r="E82" s="152"/>
      <c r="F82" s="42" t="s">
        <v>13</v>
      </c>
      <c r="G82" s="43">
        <f>H82+I82+J82+K82+L82</f>
        <v>490000</v>
      </c>
      <c r="H82" s="43">
        <f aca="true" t="shared" si="22" ref="H82:L84">H86+H90</f>
        <v>90000</v>
      </c>
      <c r="I82" s="43">
        <f t="shared" si="22"/>
        <v>100000</v>
      </c>
      <c r="J82" s="43">
        <f t="shared" si="22"/>
        <v>100000</v>
      </c>
      <c r="K82" s="43">
        <f t="shared" si="22"/>
        <v>100000</v>
      </c>
      <c r="L82" s="43">
        <f t="shared" si="22"/>
        <v>100000</v>
      </c>
      <c r="M82" s="82"/>
    </row>
    <row r="83" spans="1:13" ht="21.75" customHeight="1">
      <c r="A83" s="146"/>
      <c r="B83" s="149"/>
      <c r="C83" s="152"/>
      <c r="D83" s="155"/>
      <c r="E83" s="152"/>
      <c r="F83" s="42" t="s">
        <v>14</v>
      </c>
      <c r="G83" s="43">
        <f>H83+I83+J83+K83+L83</f>
        <v>4275804</v>
      </c>
      <c r="H83" s="43">
        <f t="shared" si="22"/>
        <v>853488</v>
      </c>
      <c r="I83" s="43">
        <f t="shared" si="22"/>
        <v>853488</v>
      </c>
      <c r="J83" s="43">
        <f t="shared" si="22"/>
        <v>856276</v>
      </c>
      <c r="K83" s="43">
        <f t="shared" si="22"/>
        <v>856276</v>
      </c>
      <c r="L83" s="43">
        <f t="shared" si="22"/>
        <v>856276</v>
      </c>
      <c r="M83" s="82"/>
    </row>
    <row r="84" spans="1:13" ht="21.75" customHeight="1">
      <c r="A84" s="147"/>
      <c r="B84" s="150"/>
      <c r="C84" s="153"/>
      <c r="D84" s="156"/>
      <c r="E84" s="153"/>
      <c r="F84" s="42" t="s">
        <v>15</v>
      </c>
      <c r="G84" s="43">
        <f>H84+I84+J84+K84+L84</f>
        <v>0</v>
      </c>
      <c r="H84" s="43">
        <f t="shared" si="22"/>
        <v>0</v>
      </c>
      <c r="I84" s="43">
        <f t="shared" si="22"/>
        <v>0</v>
      </c>
      <c r="J84" s="43">
        <f t="shared" si="22"/>
        <v>0</v>
      </c>
      <c r="K84" s="43">
        <f t="shared" si="22"/>
        <v>0</v>
      </c>
      <c r="L84" s="43">
        <f t="shared" si="22"/>
        <v>0</v>
      </c>
      <c r="M84" s="82"/>
    </row>
    <row r="85" spans="1:13" ht="21.75" customHeight="1">
      <c r="A85" s="10"/>
      <c r="B85" s="98" t="s">
        <v>86</v>
      </c>
      <c r="C85" s="101" t="s">
        <v>125</v>
      </c>
      <c r="D85" s="103" t="s">
        <v>135</v>
      </c>
      <c r="E85" s="101" t="s">
        <v>106</v>
      </c>
      <c r="F85" s="16" t="s">
        <v>12</v>
      </c>
      <c r="G85" s="26">
        <f aca="true" t="shared" si="23" ref="G85:L85">G86+G87+G88</f>
        <v>490000</v>
      </c>
      <c r="H85" s="26">
        <f t="shared" si="23"/>
        <v>90000</v>
      </c>
      <c r="I85" s="26">
        <f t="shared" si="23"/>
        <v>100000</v>
      </c>
      <c r="J85" s="26">
        <f t="shared" si="23"/>
        <v>100000</v>
      </c>
      <c r="K85" s="26">
        <f t="shared" si="23"/>
        <v>100000</v>
      </c>
      <c r="L85" s="26">
        <f t="shared" si="23"/>
        <v>100000</v>
      </c>
      <c r="M85" s="82"/>
    </row>
    <row r="86" spans="1:13" ht="21.75" customHeight="1">
      <c r="A86" s="10"/>
      <c r="B86" s="99"/>
      <c r="C86" s="102"/>
      <c r="D86" s="104"/>
      <c r="E86" s="102"/>
      <c r="F86" s="16" t="s">
        <v>13</v>
      </c>
      <c r="G86" s="26">
        <f>H86+I86+J86+K86+L86</f>
        <v>490000</v>
      </c>
      <c r="H86" s="26">
        <v>90000</v>
      </c>
      <c r="I86" s="26">
        <f>100000</f>
        <v>100000</v>
      </c>
      <c r="J86" s="26">
        <v>100000</v>
      </c>
      <c r="K86" s="26">
        <v>100000</v>
      </c>
      <c r="L86" s="26">
        <v>100000</v>
      </c>
      <c r="M86" s="82"/>
    </row>
    <row r="87" spans="1:13" ht="21.75" customHeight="1">
      <c r="A87" s="63" t="s">
        <v>93</v>
      </c>
      <c r="B87" s="99"/>
      <c r="C87" s="102"/>
      <c r="D87" s="104"/>
      <c r="E87" s="102"/>
      <c r="F87" s="16" t="s">
        <v>14</v>
      </c>
      <c r="G87" s="26">
        <f>H87+I87+J87+K87+L87</f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82"/>
    </row>
    <row r="88" spans="1:13" ht="21.75" customHeight="1">
      <c r="A88" s="10"/>
      <c r="B88" s="100"/>
      <c r="C88" s="102"/>
      <c r="D88" s="105"/>
      <c r="E88" s="106"/>
      <c r="F88" s="16" t="s">
        <v>15</v>
      </c>
      <c r="G88" s="26">
        <f>H88+I88+J88+K88+L88</f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82"/>
    </row>
    <row r="89" spans="1:13" ht="21.75" customHeight="1">
      <c r="A89" s="116" t="s">
        <v>92</v>
      </c>
      <c r="B89" s="98" t="s">
        <v>42</v>
      </c>
      <c r="C89" s="101" t="s">
        <v>125</v>
      </c>
      <c r="D89" s="103" t="s">
        <v>123</v>
      </c>
      <c r="E89" s="101" t="s">
        <v>106</v>
      </c>
      <c r="F89" s="16" t="s">
        <v>12</v>
      </c>
      <c r="G89" s="26">
        <f aca="true" t="shared" si="24" ref="G89:L89">G90+G91+G92</f>
        <v>4275804</v>
      </c>
      <c r="H89" s="26">
        <f t="shared" si="24"/>
        <v>853488</v>
      </c>
      <c r="I89" s="26">
        <f t="shared" si="24"/>
        <v>853488</v>
      </c>
      <c r="J89" s="26">
        <f t="shared" si="24"/>
        <v>856276</v>
      </c>
      <c r="K89" s="26">
        <f t="shared" si="24"/>
        <v>856276</v>
      </c>
      <c r="L89" s="26">
        <f t="shared" si="24"/>
        <v>856276</v>
      </c>
      <c r="M89" s="82"/>
    </row>
    <row r="90" spans="1:13" ht="21.75" customHeight="1">
      <c r="A90" s="117"/>
      <c r="B90" s="99"/>
      <c r="C90" s="102"/>
      <c r="D90" s="104"/>
      <c r="E90" s="102"/>
      <c r="F90" s="16" t="s">
        <v>13</v>
      </c>
      <c r="G90" s="26">
        <f>H90+I90+J90+K90+L90</f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82"/>
    </row>
    <row r="91" spans="1:14" ht="21.75" customHeight="1">
      <c r="A91" s="117"/>
      <c r="B91" s="99"/>
      <c r="C91" s="102"/>
      <c r="D91" s="104"/>
      <c r="E91" s="102"/>
      <c r="F91" s="16" t="s">
        <v>14</v>
      </c>
      <c r="G91" s="26">
        <f>H91+I91+J91+K91+L91</f>
        <v>4275804</v>
      </c>
      <c r="H91" s="26">
        <f>127900+293084+432504</f>
        <v>853488</v>
      </c>
      <c r="I91" s="26">
        <f>127900+293084+432504</f>
        <v>853488</v>
      </c>
      <c r="J91" s="26">
        <f>127214+301194+427868</f>
        <v>856276</v>
      </c>
      <c r="K91" s="26">
        <f>127214+301194+427868</f>
        <v>856276</v>
      </c>
      <c r="L91" s="26">
        <f>127214+301194+427868</f>
        <v>856276</v>
      </c>
      <c r="M91" s="82"/>
      <c r="N91" s="11"/>
    </row>
    <row r="92" spans="1:13" ht="21.75" customHeight="1">
      <c r="A92" s="118"/>
      <c r="B92" s="100"/>
      <c r="C92" s="102"/>
      <c r="D92" s="105"/>
      <c r="E92" s="106"/>
      <c r="F92" s="16" t="s">
        <v>15</v>
      </c>
      <c r="G92" s="26">
        <f>H92+I92+J92+K92+L92</f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122"/>
    </row>
    <row r="93" spans="1:13" ht="21.75" customHeight="1">
      <c r="A93" s="145" t="s">
        <v>43</v>
      </c>
      <c r="B93" s="148" t="s">
        <v>44</v>
      </c>
      <c r="C93" s="151" t="s">
        <v>125</v>
      </c>
      <c r="D93" s="154" t="s">
        <v>136</v>
      </c>
      <c r="E93" s="151" t="s">
        <v>106</v>
      </c>
      <c r="F93" s="42" t="s">
        <v>12</v>
      </c>
      <c r="G93" s="43">
        <f aca="true" t="shared" si="25" ref="G93:L93">G94+G95+G96</f>
        <v>481523763.95000005</v>
      </c>
      <c r="H93" s="43">
        <f>H94+H95+H96</f>
        <v>84695056.78</v>
      </c>
      <c r="I93" s="43">
        <f>I94+I95+I96</f>
        <v>96970505.43</v>
      </c>
      <c r="J93" s="43">
        <f>J94+J95+J96</f>
        <v>99503742.93</v>
      </c>
      <c r="K93" s="43">
        <f t="shared" si="25"/>
        <v>100949426.28</v>
      </c>
      <c r="L93" s="43">
        <f t="shared" si="25"/>
        <v>99405032.53</v>
      </c>
      <c r="M93" s="157" t="s">
        <v>162</v>
      </c>
    </row>
    <row r="94" spans="1:13" ht="21.75" customHeight="1">
      <c r="A94" s="146"/>
      <c r="B94" s="149"/>
      <c r="C94" s="152"/>
      <c r="D94" s="155"/>
      <c r="E94" s="152"/>
      <c r="F94" s="42" t="s">
        <v>13</v>
      </c>
      <c r="G94" s="43">
        <f>H94+I94+J94+K94+L94</f>
        <v>95867602.66</v>
      </c>
      <c r="H94" s="43">
        <f aca="true" t="shared" si="26" ref="H94:L96">H98+H102+H114+H106+H110</f>
        <v>19269008.78</v>
      </c>
      <c r="I94" s="43">
        <f t="shared" si="26"/>
        <v>20033854.14</v>
      </c>
      <c r="J94" s="43">
        <f>J98+J102+J114+J106+J110</f>
        <v>21498386.93</v>
      </c>
      <c r="K94" s="43">
        <f t="shared" si="26"/>
        <v>19680921.28</v>
      </c>
      <c r="L94" s="43">
        <f t="shared" si="26"/>
        <v>15385431.53</v>
      </c>
      <c r="M94" s="158"/>
    </row>
    <row r="95" spans="1:13" ht="21.75" customHeight="1">
      <c r="A95" s="146"/>
      <c r="B95" s="149"/>
      <c r="C95" s="152"/>
      <c r="D95" s="155"/>
      <c r="E95" s="152"/>
      <c r="F95" s="42" t="s">
        <v>14</v>
      </c>
      <c r="G95" s="43">
        <f>H95+I95+J95+K95+L95</f>
        <v>385656161.29</v>
      </c>
      <c r="H95" s="43">
        <f t="shared" si="26"/>
        <v>65426048</v>
      </c>
      <c r="I95" s="43">
        <f t="shared" si="26"/>
        <v>76936651.29</v>
      </c>
      <c r="J95" s="43">
        <f>J99+J103+J115+J107+J111</f>
        <v>78005356</v>
      </c>
      <c r="K95" s="43">
        <f t="shared" si="26"/>
        <v>81268505</v>
      </c>
      <c r="L95" s="43">
        <f t="shared" si="26"/>
        <v>84019601</v>
      </c>
      <c r="M95" s="158"/>
    </row>
    <row r="96" spans="1:13" ht="21.75" customHeight="1">
      <c r="A96" s="147"/>
      <c r="B96" s="150"/>
      <c r="C96" s="153"/>
      <c r="D96" s="156"/>
      <c r="E96" s="153"/>
      <c r="F96" s="42" t="s">
        <v>15</v>
      </c>
      <c r="G96" s="43">
        <f>H96+I96+J96+K96+L96</f>
        <v>0</v>
      </c>
      <c r="H96" s="43">
        <f t="shared" si="26"/>
        <v>0</v>
      </c>
      <c r="I96" s="43">
        <f t="shared" si="26"/>
        <v>0</v>
      </c>
      <c r="J96" s="43">
        <f t="shared" si="26"/>
        <v>0</v>
      </c>
      <c r="K96" s="43">
        <f t="shared" si="26"/>
        <v>0</v>
      </c>
      <c r="L96" s="43">
        <f t="shared" si="26"/>
        <v>0</v>
      </c>
      <c r="M96" s="158"/>
    </row>
    <row r="97" spans="1:13" ht="21.75" customHeight="1">
      <c r="A97" s="116" t="s">
        <v>45</v>
      </c>
      <c r="B97" s="98" t="s">
        <v>82</v>
      </c>
      <c r="C97" s="101" t="s">
        <v>125</v>
      </c>
      <c r="D97" s="103" t="s">
        <v>135</v>
      </c>
      <c r="E97" s="101" t="s">
        <v>106</v>
      </c>
      <c r="F97" s="16" t="s">
        <v>12</v>
      </c>
      <c r="G97" s="26">
        <f aca="true" t="shared" si="27" ref="G97:L97">G98+G99+G100</f>
        <v>397209861.13</v>
      </c>
      <c r="H97" s="26">
        <f t="shared" si="27"/>
        <v>75416376.46000001</v>
      </c>
      <c r="I97" s="26">
        <f t="shared" si="27"/>
        <v>78327455.74</v>
      </c>
      <c r="J97" s="26">
        <f t="shared" si="27"/>
        <v>81078227.93</v>
      </c>
      <c r="K97" s="26">
        <f t="shared" si="27"/>
        <v>81989339</v>
      </c>
      <c r="L97" s="26">
        <f t="shared" si="27"/>
        <v>80398462</v>
      </c>
      <c r="M97" s="158"/>
    </row>
    <row r="98" spans="1:15" ht="21.75" customHeight="1">
      <c r="A98" s="117"/>
      <c r="B98" s="99"/>
      <c r="C98" s="102"/>
      <c r="D98" s="104"/>
      <c r="E98" s="102"/>
      <c r="F98" s="16" t="s">
        <v>13</v>
      </c>
      <c r="G98" s="26">
        <f>H98+I98+J98+K98+L98</f>
        <v>77807245.9</v>
      </c>
      <c r="H98" s="26">
        <v>17880557.46</v>
      </c>
      <c r="I98" s="26">
        <f>15484283.05-117000+1049417.39</f>
        <v>16416700.440000001</v>
      </c>
      <c r="J98" s="26">
        <v>17127247</v>
      </c>
      <c r="K98" s="26">
        <v>15367283</v>
      </c>
      <c r="L98" s="26">
        <v>11015458</v>
      </c>
      <c r="M98" s="158"/>
      <c r="N98" s="12"/>
      <c r="O98" s="7"/>
    </row>
    <row r="99" spans="1:13" ht="21.75" customHeight="1">
      <c r="A99" s="117"/>
      <c r="B99" s="99"/>
      <c r="C99" s="102"/>
      <c r="D99" s="104"/>
      <c r="E99" s="102"/>
      <c r="F99" s="16" t="s">
        <v>14</v>
      </c>
      <c r="G99" s="26">
        <f>H99+I99+J99+K99+L99</f>
        <v>319402615.23</v>
      </c>
      <c r="H99" s="26">
        <f>57968323-432504</f>
        <v>57535819</v>
      </c>
      <c r="I99" s="26">
        <f>62343259.3-432504</f>
        <v>61910755.3</v>
      </c>
      <c r="J99" s="26">
        <f>64378848.93-427868</f>
        <v>63950980.93</v>
      </c>
      <c r="K99" s="26">
        <f>67049924-427868</f>
        <v>66622056</v>
      </c>
      <c r="L99" s="26">
        <f>69810872-427868</f>
        <v>69383004</v>
      </c>
      <c r="M99" s="158"/>
    </row>
    <row r="100" spans="1:13" ht="21.75" customHeight="1">
      <c r="A100" s="118"/>
      <c r="B100" s="100"/>
      <c r="C100" s="102"/>
      <c r="D100" s="105"/>
      <c r="E100" s="106"/>
      <c r="F100" s="16" t="s">
        <v>15</v>
      </c>
      <c r="G100" s="26">
        <f>H100+I100+J100+K100+L100</f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158"/>
    </row>
    <row r="101" spans="1:13" ht="21.75" customHeight="1">
      <c r="A101" s="116" t="s">
        <v>46</v>
      </c>
      <c r="B101" s="142" t="s">
        <v>21</v>
      </c>
      <c r="C101" s="101" t="s">
        <v>125</v>
      </c>
      <c r="D101" s="119" t="s">
        <v>132</v>
      </c>
      <c r="E101" s="101" t="s">
        <v>106</v>
      </c>
      <c r="F101" s="16" t="s">
        <v>12</v>
      </c>
      <c r="G101" s="26">
        <f aca="true" t="shared" si="28" ref="G101:L101">G102+G103+G104</f>
        <v>374205.13</v>
      </c>
      <c r="H101" s="26">
        <f t="shared" si="28"/>
        <v>48537.82</v>
      </c>
      <c r="I101" s="26">
        <f t="shared" si="28"/>
        <v>103165.31</v>
      </c>
      <c r="J101" s="26">
        <f t="shared" si="28"/>
        <v>125426</v>
      </c>
      <c r="K101" s="26">
        <f t="shared" si="28"/>
        <v>48538</v>
      </c>
      <c r="L101" s="26">
        <f t="shared" si="28"/>
        <v>48538</v>
      </c>
      <c r="M101" s="158"/>
    </row>
    <row r="102" spans="1:13" ht="21.75" customHeight="1">
      <c r="A102" s="117"/>
      <c r="B102" s="143"/>
      <c r="C102" s="102"/>
      <c r="D102" s="120"/>
      <c r="E102" s="102"/>
      <c r="F102" s="16" t="s">
        <v>13</v>
      </c>
      <c r="G102" s="26">
        <f>H102+I102+J102+K102+L102</f>
        <v>374205.13</v>
      </c>
      <c r="H102" s="26">
        <f>48538-0.18</f>
        <v>48537.82</v>
      </c>
      <c r="I102" s="26">
        <f>94165.31+9000</f>
        <v>103165.31</v>
      </c>
      <c r="J102" s="26">
        <v>125426</v>
      </c>
      <c r="K102" s="26">
        <v>48538</v>
      </c>
      <c r="L102" s="26">
        <v>48538</v>
      </c>
      <c r="M102" s="158"/>
    </row>
    <row r="103" spans="1:13" ht="21.75" customHeight="1">
      <c r="A103" s="117"/>
      <c r="B103" s="143"/>
      <c r="C103" s="102"/>
      <c r="D103" s="120"/>
      <c r="E103" s="102"/>
      <c r="F103" s="16" t="s">
        <v>14</v>
      </c>
      <c r="G103" s="26">
        <f>H103+I103+J103+K103+L103</f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158"/>
    </row>
    <row r="104" spans="1:13" ht="21.75" customHeight="1">
      <c r="A104" s="118"/>
      <c r="B104" s="144"/>
      <c r="C104" s="102"/>
      <c r="D104" s="121"/>
      <c r="E104" s="106"/>
      <c r="F104" s="16" t="s">
        <v>15</v>
      </c>
      <c r="G104" s="26">
        <f>H104+I104+J104+K104+L104</f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158"/>
    </row>
    <row r="105" spans="1:13" ht="21.75" customHeight="1">
      <c r="A105" s="61"/>
      <c r="B105" s="142" t="s">
        <v>96</v>
      </c>
      <c r="C105" s="101" t="s">
        <v>125</v>
      </c>
      <c r="D105" s="119" t="s">
        <v>133</v>
      </c>
      <c r="E105" s="101" t="s">
        <v>106</v>
      </c>
      <c r="F105" s="16" t="s">
        <v>12</v>
      </c>
      <c r="G105" s="26">
        <f aca="true" t="shared" si="29" ref="G105:L105">G106+G107+G108</f>
        <v>4487641.65</v>
      </c>
      <c r="H105" s="26">
        <f t="shared" si="29"/>
        <v>393480</v>
      </c>
      <c r="I105" s="26">
        <f t="shared" si="29"/>
        <v>1094161.65</v>
      </c>
      <c r="J105" s="26">
        <f t="shared" si="29"/>
        <v>1000000</v>
      </c>
      <c r="K105" s="26">
        <f t="shared" si="29"/>
        <v>1000000</v>
      </c>
      <c r="L105" s="26">
        <f t="shared" si="29"/>
        <v>1000000</v>
      </c>
      <c r="M105" s="158"/>
    </row>
    <row r="106" spans="1:13" ht="21.75" customHeight="1">
      <c r="A106" s="61"/>
      <c r="B106" s="143"/>
      <c r="C106" s="102"/>
      <c r="D106" s="120"/>
      <c r="E106" s="102"/>
      <c r="F106" s="16" t="s">
        <v>13</v>
      </c>
      <c r="G106" s="26">
        <f>H106+I106+J106+K106+L106</f>
        <v>4487641.65</v>
      </c>
      <c r="H106" s="26">
        <v>393480</v>
      </c>
      <c r="I106" s="26">
        <f>20000+1074161.65</f>
        <v>1094161.65</v>
      </c>
      <c r="J106" s="26">
        <v>1000000</v>
      </c>
      <c r="K106" s="26">
        <v>1000000</v>
      </c>
      <c r="L106" s="26">
        <v>1000000</v>
      </c>
      <c r="M106" s="158"/>
    </row>
    <row r="107" spans="1:13" ht="21.75" customHeight="1">
      <c r="A107" s="63" t="s">
        <v>95</v>
      </c>
      <c r="B107" s="143"/>
      <c r="C107" s="102"/>
      <c r="D107" s="120"/>
      <c r="E107" s="102"/>
      <c r="F107" s="16" t="s">
        <v>14</v>
      </c>
      <c r="G107" s="26">
        <f>H107+I107+J107+K107+L107</f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158"/>
    </row>
    <row r="108" spans="1:13" ht="21.75" customHeight="1">
      <c r="A108" s="61"/>
      <c r="B108" s="144"/>
      <c r="C108" s="102"/>
      <c r="D108" s="121"/>
      <c r="E108" s="106"/>
      <c r="F108" s="16" t="s">
        <v>15</v>
      </c>
      <c r="G108" s="26">
        <f>H108+I108+J108+K108+L108</f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158"/>
    </row>
    <row r="109" spans="1:13" ht="21.75" customHeight="1">
      <c r="A109" s="116" t="s">
        <v>94</v>
      </c>
      <c r="B109" s="142" t="s">
        <v>23</v>
      </c>
      <c r="C109" s="101" t="s">
        <v>125</v>
      </c>
      <c r="D109" s="119" t="s">
        <v>134</v>
      </c>
      <c r="E109" s="101" t="s">
        <v>106</v>
      </c>
      <c r="F109" s="16" t="s">
        <v>12</v>
      </c>
      <c r="G109" s="26">
        <f aca="true" t="shared" si="30" ref="G109:L109">G110+G111+G112</f>
        <v>17874635.29</v>
      </c>
      <c r="H109" s="26">
        <f t="shared" si="30"/>
        <v>3915780</v>
      </c>
      <c r="I109" s="26">
        <f t="shared" si="30"/>
        <v>3809664.29</v>
      </c>
      <c r="J109" s="26">
        <f t="shared" si="30"/>
        <v>3134809</v>
      </c>
      <c r="K109" s="26">
        <f t="shared" si="30"/>
        <v>3593249</v>
      </c>
      <c r="L109" s="26">
        <f t="shared" si="30"/>
        <v>3421133</v>
      </c>
      <c r="M109" s="158"/>
    </row>
    <row r="110" spans="1:13" ht="21.75" customHeight="1">
      <c r="A110" s="117"/>
      <c r="B110" s="143"/>
      <c r="C110" s="102"/>
      <c r="D110" s="120"/>
      <c r="E110" s="102"/>
      <c r="F110" s="16" t="s">
        <v>13</v>
      </c>
      <c r="G110" s="26">
        <f>H110+I110+J110+K110+L110</f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158"/>
    </row>
    <row r="111" spans="1:13" ht="21.75" customHeight="1">
      <c r="A111" s="117"/>
      <c r="B111" s="143"/>
      <c r="C111" s="102"/>
      <c r="D111" s="120"/>
      <c r="E111" s="102"/>
      <c r="F111" s="16" t="s">
        <v>14</v>
      </c>
      <c r="G111" s="26">
        <f>H111+I111+J111+K111+L111</f>
        <v>17874635.29</v>
      </c>
      <c r="H111" s="26">
        <f>1513280+2402500</f>
        <v>3915780</v>
      </c>
      <c r="I111" s="26">
        <f>1178210+2631454.29</f>
        <v>3809664.29</v>
      </c>
      <c r="J111" s="26">
        <f>1154809+1980000</f>
        <v>3134809</v>
      </c>
      <c r="K111" s="26">
        <f>1513249+2080000</f>
        <v>3593249</v>
      </c>
      <c r="L111" s="26">
        <f>1341133+2080000</f>
        <v>3421133</v>
      </c>
      <c r="M111" s="158"/>
    </row>
    <row r="112" spans="1:13" ht="21.75" customHeight="1">
      <c r="A112" s="118"/>
      <c r="B112" s="144"/>
      <c r="C112" s="102"/>
      <c r="D112" s="121"/>
      <c r="E112" s="106"/>
      <c r="F112" s="16" t="s">
        <v>15</v>
      </c>
      <c r="G112" s="26">
        <f>H112+I112+J112+K112+L112</f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158"/>
    </row>
    <row r="113" spans="1:13" ht="21.75" customHeight="1">
      <c r="A113" s="116" t="s">
        <v>160</v>
      </c>
      <c r="B113" s="142" t="s">
        <v>159</v>
      </c>
      <c r="C113" s="101" t="s">
        <v>125</v>
      </c>
      <c r="D113" s="103" t="s">
        <v>137</v>
      </c>
      <c r="E113" s="101" t="s">
        <v>106</v>
      </c>
      <c r="F113" s="16" t="s">
        <v>12</v>
      </c>
      <c r="G113" s="26">
        <f aca="true" t="shared" si="31" ref="G113:L113">G114+G115+G116</f>
        <v>61577420.74999999</v>
      </c>
      <c r="H113" s="26">
        <f t="shared" si="31"/>
        <v>4920882.5</v>
      </c>
      <c r="I113" s="26">
        <f t="shared" si="31"/>
        <v>13636058.44</v>
      </c>
      <c r="J113" s="26">
        <f t="shared" si="31"/>
        <v>14165280</v>
      </c>
      <c r="K113" s="26">
        <f t="shared" si="31"/>
        <v>14318300.28</v>
      </c>
      <c r="L113" s="26">
        <f t="shared" si="31"/>
        <v>14536899.53</v>
      </c>
      <c r="M113" s="158"/>
    </row>
    <row r="114" spans="1:13" ht="21.75" customHeight="1">
      <c r="A114" s="117"/>
      <c r="B114" s="143"/>
      <c r="C114" s="102"/>
      <c r="D114" s="104"/>
      <c r="E114" s="102"/>
      <c r="F114" s="16" t="s">
        <v>13</v>
      </c>
      <c r="G114" s="26">
        <f>H114+I114+J114+K114+L114</f>
        <v>13198509.979999999</v>
      </c>
      <c r="H114" s="26">
        <f>845990.48+96482.96-233.44+4193.5</f>
        <v>946433.5</v>
      </c>
      <c r="I114" s="26">
        <f>2724868.3-76260.5*3-76260.06</f>
        <v>2419826.7399999998</v>
      </c>
      <c r="J114" s="26">
        <v>3245713.93</v>
      </c>
      <c r="K114" s="26">
        <v>3265100.28</v>
      </c>
      <c r="L114" s="26">
        <v>3321435.53</v>
      </c>
      <c r="M114" s="158"/>
    </row>
    <row r="115" spans="1:13" ht="21.75" customHeight="1">
      <c r="A115" s="117"/>
      <c r="B115" s="143"/>
      <c r="C115" s="102"/>
      <c r="D115" s="104"/>
      <c r="E115" s="102"/>
      <c r="F115" s="16" t="s">
        <v>14</v>
      </c>
      <c r="G115" s="26">
        <f>H115+I115+J115+K115+L115</f>
        <v>48378910.769999996</v>
      </c>
      <c r="H115" s="26">
        <f>3768960+205489</f>
        <v>3974449</v>
      </c>
      <c r="I115" s="26">
        <v>11216231.7</v>
      </c>
      <c r="J115" s="26">
        <v>10919566.07</v>
      </c>
      <c r="K115" s="26">
        <v>11053200</v>
      </c>
      <c r="L115" s="26">
        <v>11215464</v>
      </c>
      <c r="M115" s="158"/>
    </row>
    <row r="116" spans="1:13" ht="21.75" customHeight="1">
      <c r="A116" s="118"/>
      <c r="B116" s="144"/>
      <c r="C116" s="102"/>
      <c r="D116" s="105"/>
      <c r="E116" s="106"/>
      <c r="F116" s="16" t="s">
        <v>15</v>
      </c>
      <c r="G116" s="26">
        <f>H116+I116+J116+K116+L116</f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159"/>
    </row>
    <row r="117" spans="1:13" ht="21.75" customHeight="1">
      <c r="A117" s="145" t="s">
        <v>47</v>
      </c>
      <c r="B117" s="148" t="s">
        <v>48</v>
      </c>
      <c r="C117" s="151" t="s">
        <v>125</v>
      </c>
      <c r="D117" s="154" t="s">
        <v>137</v>
      </c>
      <c r="E117" s="151" t="s">
        <v>106</v>
      </c>
      <c r="F117" s="42" t="s">
        <v>12</v>
      </c>
      <c r="G117" s="43">
        <f aca="true" t="shared" si="32" ref="G117:L117">G118+G119+G120</f>
        <v>150750224.46999997</v>
      </c>
      <c r="H117" s="43">
        <f>H118+H119+H120</f>
        <v>23814087.8</v>
      </c>
      <c r="I117" s="43">
        <f>I118+I119+I120</f>
        <v>44379680.78999999</v>
      </c>
      <c r="J117" s="43">
        <f>J118+J119+J120</f>
        <v>26978983.92</v>
      </c>
      <c r="K117" s="43">
        <f t="shared" si="32"/>
        <v>27573195.6</v>
      </c>
      <c r="L117" s="43">
        <f t="shared" si="32"/>
        <v>28004276.36</v>
      </c>
      <c r="M117" s="81"/>
    </row>
    <row r="118" spans="1:13" ht="21.75" customHeight="1">
      <c r="A118" s="146"/>
      <c r="B118" s="149"/>
      <c r="C118" s="152"/>
      <c r="D118" s="155"/>
      <c r="E118" s="152"/>
      <c r="F118" s="42" t="s">
        <v>13</v>
      </c>
      <c r="G118" s="43">
        <f>H118+I118+J118+K118+L118</f>
        <v>30404120.54</v>
      </c>
      <c r="H118" s="43">
        <f>H122+H134+H138+H142+H146+H150+H126+H130+H154+H158+H162</f>
        <v>2476339.29</v>
      </c>
      <c r="I118" s="43">
        <f>I122+I134+I138+I142+I146+I150+I126+I130+I154+I158+I162</f>
        <v>3759702.31</v>
      </c>
      <c r="J118" s="43">
        <f>J122+J134+J138+J142+J146+J150+J126+J130+J154+J158+J162</f>
        <v>7577023.82</v>
      </c>
      <c r="K118" s="43">
        <f>K122+K134+K138+K142+K146+K150+K126+K130+K154+K158+K162</f>
        <v>8284372.33</v>
      </c>
      <c r="L118" s="43">
        <f>L122+L134+L138+L142+L146+L150+L126+L130+L154+L158+L162</f>
        <v>8306682.79</v>
      </c>
      <c r="M118" s="82"/>
    </row>
    <row r="119" spans="1:13" ht="21.75" customHeight="1">
      <c r="A119" s="146"/>
      <c r="B119" s="149"/>
      <c r="C119" s="152"/>
      <c r="D119" s="155"/>
      <c r="E119" s="152"/>
      <c r="F119" s="42" t="s">
        <v>14</v>
      </c>
      <c r="G119" s="43">
        <f>H119+I119+J119+K119+L119</f>
        <v>27534263.73</v>
      </c>
      <c r="H119" s="43">
        <f aca="true" t="shared" si="33" ref="H119:J120">H123+H135+H139+H143+H147+H151+H127+H131+H155+H159+H163</f>
        <v>11497014.51</v>
      </c>
      <c r="I119" s="43">
        <f t="shared" si="33"/>
        <v>5421714.0200000005</v>
      </c>
      <c r="J119" s="43">
        <f t="shared" si="33"/>
        <v>3523080.63</v>
      </c>
      <c r="K119" s="43">
        <f>K123+K135+K139+K143+K147+K151+K127+K131+K155+K159+K163</f>
        <v>3520974.2199999997</v>
      </c>
      <c r="L119" s="43">
        <f>L123+L135+L139+L143+L147+L151+L127+L131+L155+L159+L163</f>
        <v>3571480.35</v>
      </c>
      <c r="M119" s="82"/>
    </row>
    <row r="120" spans="1:13" ht="21.75" customHeight="1">
      <c r="A120" s="147"/>
      <c r="B120" s="150"/>
      <c r="C120" s="153"/>
      <c r="D120" s="156"/>
      <c r="E120" s="153"/>
      <c r="F120" s="42" t="s">
        <v>15</v>
      </c>
      <c r="G120" s="43">
        <f>H120+I120+J120+K120+L120</f>
        <v>92811840.19999999</v>
      </c>
      <c r="H120" s="43">
        <f t="shared" si="33"/>
        <v>9840734</v>
      </c>
      <c r="I120" s="43">
        <f t="shared" si="33"/>
        <v>35198264.45999999</v>
      </c>
      <c r="J120" s="43">
        <f t="shared" si="33"/>
        <v>15878879.47</v>
      </c>
      <c r="K120" s="43">
        <f>K124+K136+K140+K144+K148+K152+K128+K132+K156+K160+K164</f>
        <v>15767849.05</v>
      </c>
      <c r="L120" s="43">
        <f>L124+L136+L140+L144+L148+L152+L128+L132+L156+L160+L164</f>
        <v>16126113.22</v>
      </c>
      <c r="M120" s="82"/>
    </row>
    <row r="121" spans="1:13" ht="21.75" customHeight="1">
      <c r="A121" s="116" t="s">
        <v>49</v>
      </c>
      <c r="B121" s="98" t="s">
        <v>50</v>
      </c>
      <c r="C121" s="101" t="s">
        <v>125</v>
      </c>
      <c r="D121" s="101"/>
      <c r="E121" s="101" t="s">
        <v>106</v>
      </c>
      <c r="F121" s="16" t="s">
        <v>12</v>
      </c>
      <c r="G121" s="26">
        <f aca="true" t="shared" si="34" ref="G121:L121">G122+G123+G124</f>
        <v>58058</v>
      </c>
      <c r="H121" s="26">
        <f t="shared" si="34"/>
        <v>58058</v>
      </c>
      <c r="I121" s="26">
        <f t="shared" si="34"/>
        <v>0</v>
      </c>
      <c r="J121" s="26">
        <f t="shared" si="34"/>
        <v>0</v>
      </c>
      <c r="K121" s="26">
        <f t="shared" si="34"/>
        <v>0</v>
      </c>
      <c r="L121" s="26">
        <f t="shared" si="34"/>
        <v>0</v>
      </c>
      <c r="M121" s="82" t="s">
        <v>144</v>
      </c>
    </row>
    <row r="122" spans="1:13" ht="21.75" customHeight="1">
      <c r="A122" s="117"/>
      <c r="B122" s="99"/>
      <c r="C122" s="102"/>
      <c r="D122" s="102"/>
      <c r="E122" s="102"/>
      <c r="F122" s="16" t="s">
        <v>13</v>
      </c>
      <c r="G122" s="26">
        <f>H122+I122+J122+K122+L122</f>
        <v>58058</v>
      </c>
      <c r="H122" s="26">
        <v>58058</v>
      </c>
      <c r="I122" s="26">
        <v>0</v>
      </c>
      <c r="J122" s="26">
        <v>0</v>
      </c>
      <c r="K122" s="26">
        <v>0</v>
      </c>
      <c r="L122" s="26">
        <v>0</v>
      </c>
      <c r="M122" s="82"/>
    </row>
    <row r="123" spans="1:13" ht="21.75" customHeight="1">
      <c r="A123" s="117"/>
      <c r="B123" s="99"/>
      <c r="C123" s="102"/>
      <c r="D123" s="102"/>
      <c r="E123" s="102"/>
      <c r="F123" s="16" t="s">
        <v>14</v>
      </c>
      <c r="G123" s="26">
        <f>H123+I123+J123+K123+L123</f>
        <v>0</v>
      </c>
      <c r="H123" s="26">
        <v>0</v>
      </c>
      <c r="I123" s="26">
        <v>0</v>
      </c>
      <c r="J123" s="26">
        <v>0</v>
      </c>
      <c r="K123" s="26"/>
      <c r="L123" s="26">
        <v>0</v>
      </c>
      <c r="M123" s="82"/>
    </row>
    <row r="124" spans="1:13" ht="21.75" customHeight="1">
      <c r="A124" s="118"/>
      <c r="B124" s="100"/>
      <c r="C124" s="102"/>
      <c r="D124" s="106"/>
      <c r="E124" s="106"/>
      <c r="F124" s="16" t="s">
        <v>15</v>
      </c>
      <c r="G124" s="26">
        <f>H124+I124+J124+K124+L124</f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82"/>
    </row>
    <row r="125" spans="1:13" ht="21.75" customHeight="1">
      <c r="A125" s="116" t="s">
        <v>51</v>
      </c>
      <c r="B125" s="98" t="s">
        <v>116</v>
      </c>
      <c r="C125" s="101" t="s">
        <v>125</v>
      </c>
      <c r="D125" s="119" t="s">
        <v>129</v>
      </c>
      <c r="E125" s="101" t="s">
        <v>106</v>
      </c>
      <c r="F125" s="16" t="s">
        <v>12</v>
      </c>
      <c r="G125" s="26">
        <f aca="true" t="shared" si="35" ref="G125:L125">G126+G127+G128</f>
        <v>14525521</v>
      </c>
      <c r="H125" s="26">
        <f t="shared" si="35"/>
        <v>12027171</v>
      </c>
      <c r="I125" s="26">
        <f t="shared" si="35"/>
        <v>2498350</v>
      </c>
      <c r="J125" s="26">
        <f t="shared" si="35"/>
        <v>0</v>
      </c>
      <c r="K125" s="26">
        <f t="shared" si="35"/>
        <v>0</v>
      </c>
      <c r="L125" s="26">
        <f t="shared" si="35"/>
        <v>0</v>
      </c>
      <c r="M125" s="82"/>
    </row>
    <row r="126" spans="1:13" ht="21.75" customHeight="1">
      <c r="A126" s="117"/>
      <c r="B126" s="99"/>
      <c r="C126" s="102"/>
      <c r="D126" s="120"/>
      <c r="E126" s="102"/>
      <c r="F126" s="16" t="s">
        <v>13</v>
      </c>
      <c r="G126" s="26">
        <f>H126+I126+J126+K126+L126</f>
        <v>977901</v>
      </c>
      <c r="H126" s="26">
        <v>900000</v>
      </c>
      <c r="I126" s="26">
        <v>77901</v>
      </c>
      <c r="J126" s="26">
        <v>0</v>
      </c>
      <c r="K126" s="26">
        <v>0</v>
      </c>
      <c r="L126" s="26">
        <v>0</v>
      </c>
      <c r="M126" s="82"/>
    </row>
    <row r="127" spans="1:13" ht="21.75" customHeight="1">
      <c r="A127" s="117"/>
      <c r="B127" s="99"/>
      <c r="C127" s="102"/>
      <c r="D127" s="120"/>
      <c r="E127" s="102"/>
      <c r="F127" s="16" t="s">
        <v>14</v>
      </c>
      <c r="G127" s="26">
        <f>H127+I127+J127+K127+L127</f>
        <v>9349858.94</v>
      </c>
      <c r="H127" s="26">
        <v>7685537</v>
      </c>
      <c r="I127" s="26">
        <f>464321.94+1200000</f>
        <v>1664321.94</v>
      </c>
      <c r="J127" s="26">
        <v>0</v>
      </c>
      <c r="K127" s="26">
        <v>0</v>
      </c>
      <c r="L127" s="26">
        <v>0</v>
      </c>
      <c r="M127" s="82"/>
    </row>
    <row r="128" spans="1:13" ht="21.75" customHeight="1">
      <c r="A128" s="118"/>
      <c r="B128" s="100"/>
      <c r="C128" s="102"/>
      <c r="D128" s="121"/>
      <c r="E128" s="106"/>
      <c r="F128" s="16" t="s">
        <v>15</v>
      </c>
      <c r="G128" s="26">
        <f>H128+I128+J128+K128+L128</f>
        <v>4197761.0600000005</v>
      </c>
      <c r="H128" s="26">
        <v>3441634</v>
      </c>
      <c r="I128" s="26">
        <v>756127.06</v>
      </c>
      <c r="J128" s="26">
        <v>0</v>
      </c>
      <c r="K128" s="26">
        <v>0</v>
      </c>
      <c r="L128" s="26">
        <v>0</v>
      </c>
      <c r="M128" s="82"/>
    </row>
    <row r="129" spans="1:25" s="35" customFormat="1" ht="21.75" customHeight="1">
      <c r="A129" s="116" t="s">
        <v>52</v>
      </c>
      <c r="B129" s="98" t="s">
        <v>169</v>
      </c>
      <c r="C129" s="101" t="s">
        <v>125</v>
      </c>
      <c r="D129" s="135" t="s">
        <v>170</v>
      </c>
      <c r="E129" s="101" t="s">
        <v>106</v>
      </c>
      <c r="F129" s="16" t="s">
        <v>12</v>
      </c>
      <c r="G129" s="26">
        <f aca="true" t="shared" si="36" ref="G129:L129">G130+G131+G132</f>
        <v>21151290</v>
      </c>
      <c r="H129" s="26">
        <f t="shared" si="36"/>
        <v>0</v>
      </c>
      <c r="I129" s="26">
        <f t="shared" si="36"/>
        <v>21151290</v>
      </c>
      <c r="J129" s="26">
        <f t="shared" si="36"/>
        <v>0</v>
      </c>
      <c r="K129" s="26">
        <f t="shared" si="36"/>
        <v>0</v>
      </c>
      <c r="L129" s="26">
        <f t="shared" si="36"/>
        <v>0</v>
      </c>
      <c r="M129" s="82"/>
      <c r="Y129" s="141"/>
    </row>
    <row r="130" spans="1:25" s="35" customFormat="1" ht="21.75" customHeight="1">
      <c r="A130" s="117"/>
      <c r="B130" s="99"/>
      <c r="C130" s="102"/>
      <c r="D130" s="136"/>
      <c r="E130" s="102"/>
      <c r="F130" s="16" t="s">
        <v>13</v>
      </c>
      <c r="G130" s="26">
        <f>H130+I130+J130+K130+L130</f>
        <v>851660</v>
      </c>
      <c r="H130" s="26">
        <v>0</v>
      </c>
      <c r="I130" s="26">
        <f>20320+351340+480000</f>
        <v>851660</v>
      </c>
      <c r="J130" s="26">
        <v>0</v>
      </c>
      <c r="K130" s="26">
        <v>0</v>
      </c>
      <c r="L130" s="26">
        <v>0</v>
      </c>
      <c r="M130" s="82"/>
      <c r="O130" s="36">
        <f>1759000+1400000+4507295+1195000</f>
        <v>8861295</v>
      </c>
      <c r="P130" s="36">
        <f>O130-N130</f>
        <v>8861295</v>
      </c>
      <c r="Y130" s="141"/>
    </row>
    <row r="131" spans="1:25" s="35" customFormat="1" ht="21.75" customHeight="1">
      <c r="A131" s="117"/>
      <c r="B131" s="99"/>
      <c r="C131" s="102"/>
      <c r="D131" s="136"/>
      <c r="E131" s="102"/>
      <c r="F131" s="16" t="s">
        <v>14</v>
      </c>
      <c r="G131" s="26">
        <f>H131+I131+J131+K131+L131</f>
        <v>405992.6</v>
      </c>
      <c r="H131" s="26">
        <v>0</v>
      </c>
      <c r="I131" s="26">
        <v>405992.6</v>
      </c>
      <c r="J131" s="26">
        <v>0</v>
      </c>
      <c r="K131" s="26">
        <v>0</v>
      </c>
      <c r="L131" s="26">
        <v>0</v>
      </c>
      <c r="M131" s="82"/>
      <c r="P131" s="36"/>
      <c r="Y131" s="141"/>
    </row>
    <row r="132" spans="1:25" s="35" customFormat="1" ht="21.75" customHeight="1">
      <c r="A132" s="118"/>
      <c r="B132" s="100"/>
      <c r="C132" s="106"/>
      <c r="D132" s="137"/>
      <c r="E132" s="106"/>
      <c r="F132" s="16" t="s">
        <v>15</v>
      </c>
      <c r="G132" s="26">
        <f>H132+I132+J132+K132+L132</f>
        <v>19893637.4</v>
      </c>
      <c r="H132" s="26">
        <v>0</v>
      </c>
      <c r="I132" s="26">
        <v>19893637.4</v>
      </c>
      <c r="J132" s="26">
        <v>0</v>
      </c>
      <c r="K132" s="26">
        <v>0</v>
      </c>
      <c r="L132" s="26">
        <v>0</v>
      </c>
      <c r="M132" s="82"/>
      <c r="N132" s="37"/>
      <c r="Y132" s="141"/>
    </row>
    <row r="133" spans="1:13" ht="21.75" customHeight="1">
      <c r="A133" s="116" t="s">
        <v>54</v>
      </c>
      <c r="B133" s="98" t="s">
        <v>166</v>
      </c>
      <c r="C133" s="101" t="s">
        <v>125</v>
      </c>
      <c r="D133" s="119" t="s">
        <v>129</v>
      </c>
      <c r="E133" s="101" t="s">
        <v>106</v>
      </c>
      <c r="F133" s="16" t="s">
        <v>12</v>
      </c>
      <c r="G133" s="26">
        <f aca="true" t="shared" si="37" ref="G133:L133">G134+G135+G136</f>
        <v>676415</v>
      </c>
      <c r="H133" s="26">
        <f t="shared" si="37"/>
        <v>0</v>
      </c>
      <c r="I133" s="26">
        <f t="shared" si="37"/>
        <v>676415</v>
      </c>
      <c r="J133" s="26">
        <f t="shared" si="37"/>
        <v>0</v>
      </c>
      <c r="K133" s="26">
        <f t="shared" si="37"/>
        <v>0</v>
      </c>
      <c r="L133" s="26">
        <f t="shared" si="37"/>
        <v>0</v>
      </c>
      <c r="M133" s="82"/>
    </row>
    <row r="134" spans="1:13" ht="21.75" customHeight="1">
      <c r="A134" s="117"/>
      <c r="B134" s="99"/>
      <c r="C134" s="102"/>
      <c r="D134" s="120"/>
      <c r="E134" s="102"/>
      <c r="F134" s="16" t="s">
        <v>13</v>
      </c>
      <c r="G134" s="26">
        <f>H134+I134+J134+K134+L134</f>
        <v>676415</v>
      </c>
      <c r="H134" s="26">
        <v>0</v>
      </c>
      <c r="I134" s="26">
        <v>676415</v>
      </c>
      <c r="J134" s="26">
        <v>0</v>
      </c>
      <c r="K134" s="26">
        <v>0</v>
      </c>
      <c r="L134" s="26">
        <v>0</v>
      </c>
      <c r="M134" s="82"/>
    </row>
    <row r="135" spans="1:13" ht="21.75" customHeight="1">
      <c r="A135" s="117"/>
      <c r="B135" s="99"/>
      <c r="C135" s="102"/>
      <c r="D135" s="120"/>
      <c r="E135" s="102"/>
      <c r="F135" s="16" t="s">
        <v>14</v>
      </c>
      <c r="G135" s="26">
        <f>H135+I135+J135+K135+L135</f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82"/>
    </row>
    <row r="136" spans="1:13" ht="21.75" customHeight="1">
      <c r="A136" s="118"/>
      <c r="B136" s="100"/>
      <c r="C136" s="102"/>
      <c r="D136" s="121"/>
      <c r="E136" s="106"/>
      <c r="F136" s="16" t="s">
        <v>15</v>
      </c>
      <c r="G136" s="26">
        <f>H136+I136+J136+K136+L136</f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122"/>
    </row>
    <row r="137" spans="1:13" ht="21.75" customHeight="1">
      <c r="A137" s="116" t="s">
        <v>84</v>
      </c>
      <c r="B137" s="98" t="s">
        <v>53</v>
      </c>
      <c r="C137" s="101" t="s">
        <v>125</v>
      </c>
      <c r="D137" s="119" t="s">
        <v>131</v>
      </c>
      <c r="E137" s="101" t="s">
        <v>106</v>
      </c>
      <c r="F137" s="16" t="s">
        <v>12</v>
      </c>
      <c r="G137" s="26">
        <f aca="true" t="shared" si="38" ref="G137:L137">G138+G139+G140</f>
        <v>3700622.2800000003</v>
      </c>
      <c r="H137" s="26">
        <f t="shared" si="38"/>
        <v>547300</v>
      </c>
      <c r="I137" s="26">
        <f t="shared" si="38"/>
        <v>708294.28</v>
      </c>
      <c r="J137" s="26">
        <f t="shared" si="38"/>
        <v>783340</v>
      </c>
      <c r="K137" s="26">
        <f t="shared" si="38"/>
        <v>814538</v>
      </c>
      <c r="L137" s="26">
        <f t="shared" si="38"/>
        <v>847150</v>
      </c>
      <c r="M137" s="81" t="s">
        <v>120</v>
      </c>
    </row>
    <row r="138" spans="1:13" ht="21.75" customHeight="1">
      <c r="A138" s="117"/>
      <c r="B138" s="99"/>
      <c r="C138" s="102"/>
      <c r="D138" s="120"/>
      <c r="E138" s="102"/>
      <c r="F138" s="16" t="s">
        <v>13</v>
      </c>
      <c r="G138" s="26">
        <f>H138+I138+J138+K138+L138</f>
        <v>2528402.2800000003</v>
      </c>
      <c r="H138" s="26">
        <v>408000</v>
      </c>
      <c r="I138" s="26">
        <f>433440+44154.28</f>
        <v>477594.28</v>
      </c>
      <c r="J138" s="26">
        <v>526320</v>
      </c>
      <c r="K138" s="26">
        <v>547288</v>
      </c>
      <c r="L138" s="26">
        <v>569200</v>
      </c>
      <c r="M138" s="82"/>
    </row>
    <row r="139" spans="1:13" ht="21.75" customHeight="1">
      <c r="A139" s="117"/>
      <c r="B139" s="99"/>
      <c r="C139" s="102"/>
      <c r="D139" s="120"/>
      <c r="E139" s="102"/>
      <c r="F139" s="16" t="s">
        <v>14</v>
      </c>
      <c r="G139" s="26">
        <f>H139+I139+J139+K139+L139</f>
        <v>1172220</v>
      </c>
      <c r="H139" s="26">
        <v>139300</v>
      </c>
      <c r="I139" s="26">
        <v>230700</v>
      </c>
      <c r="J139" s="26">
        <v>257020</v>
      </c>
      <c r="K139" s="26">
        <v>267250</v>
      </c>
      <c r="L139" s="26">
        <v>277950</v>
      </c>
      <c r="M139" s="82"/>
    </row>
    <row r="140" spans="1:13" ht="21.75" customHeight="1">
      <c r="A140" s="118"/>
      <c r="B140" s="100"/>
      <c r="C140" s="102"/>
      <c r="D140" s="121"/>
      <c r="E140" s="106"/>
      <c r="F140" s="16" t="s">
        <v>15</v>
      </c>
      <c r="G140" s="26">
        <f>H140+I140+J140+K140+L140</f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122"/>
    </row>
    <row r="141" spans="1:13" ht="21.75" customHeight="1">
      <c r="A141" s="116" t="s">
        <v>158</v>
      </c>
      <c r="B141" s="98" t="s">
        <v>88</v>
      </c>
      <c r="C141" s="101" t="s">
        <v>125</v>
      </c>
      <c r="D141" s="119" t="s">
        <v>139</v>
      </c>
      <c r="E141" s="101" t="s">
        <v>106</v>
      </c>
      <c r="F141" s="16" t="s">
        <v>12</v>
      </c>
      <c r="G141" s="26">
        <f aca="true" t="shared" si="39" ref="G141:L141">G142+G143+G144</f>
        <v>7318184.9</v>
      </c>
      <c r="H141" s="26">
        <f t="shared" si="39"/>
        <v>104312.9</v>
      </c>
      <c r="I141" s="26">
        <f t="shared" si="39"/>
        <v>1803468</v>
      </c>
      <c r="J141" s="26">
        <f t="shared" si="39"/>
        <v>1803468</v>
      </c>
      <c r="K141" s="26">
        <f t="shared" si="39"/>
        <v>1803468</v>
      </c>
      <c r="L141" s="26">
        <f t="shared" si="39"/>
        <v>1803468</v>
      </c>
      <c r="M141" s="81" t="s">
        <v>172</v>
      </c>
    </row>
    <row r="142" spans="1:14" ht="21.75" customHeight="1">
      <c r="A142" s="117"/>
      <c r="B142" s="99"/>
      <c r="C142" s="102"/>
      <c r="D142" s="120"/>
      <c r="E142" s="102"/>
      <c r="F142" s="16" t="s">
        <v>13</v>
      </c>
      <c r="G142" s="26">
        <f>H142+I142+J142+K142+L142</f>
        <v>3711248.9</v>
      </c>
      <c r="H142" s="26">
        <v>104312.9</v>
      </c>
      <c r="I142" s="26">
        <f>500000+401734</f>
        <v>901734</v>
      </c>
      <c r="J142" s="26">
        <v>901734</v>
      </c>
      <c r="K142" s="26">
        <v>901734</v>
      </c>
      <c r="L142" s="26">
        <v>901734</v>
      </c>
      <c r="M142" s="82"/>
      <c r="N142" s="13"/>
    </row>
    <row r="143" spans="1:13" ht="21.75" customHeight="1">
      <c r="A143" s="117"/>
      <c r="B143" s="99"/>
      <c r="C143" s="102"/>
      <c r="D143" s="120"/>
      <c r="E143" s="102"/>
      <c r="F143" s="16" t="s">
        <v>14</v>
      </c>
      <c r="G143" s="26">
        <f>H143+I143+J143+K143+L143</f>
        <v>3606936</v>
      </c>
      <c r="H143" s="26"/>
      <c r="I143" s="26">
        <v>901734</v>
      </c>
      <c r="J143" s="26">
        <v>901734</v>
      </c>
      <c r="K143" s="26">
        <v>901734</v>
      </c>
      <c r="L143" s="26">
        <v>901734</v>
      </c>
      <c r="M143" s="82"/>
    </row>
    <row r="144" spans="1:13" ht="21.75" customHeight="1">
      <c r="A144" s="118"/>
      <c r="B144" s="100"/>
      <c r="C144" s="102"/>
      <c r="D144" s="121"/>
      <c r="E144" s="106"/>
      <c r="F144" s="16" t="s">
        <v>15</v>
      </c>
      <c r="G144" s="26">
        <f>H144+I144+J144+K144+L144</f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122"/>
    </row>
    <row r="145" spans="1:13" ht="21.75" customHeight="1">
      <c r="A145" s="116" t="s">
        <v>164</v>
      </c>
      <c r="B145" s="98" t="s">
        <v>163</v>
      </c>
      <c r="C145" s="101" t="s">
        <v>125</v>
      </c>
      <c r="D145" s="119" t="s">
        <v>139</v>
      </c>
      <c r="E145" s="101" t="s">
        <v>106</v>
      </c>
      <c r="F145" s="16" t="s">
        <v>12</v>
      </c>
      <c r="G145" s="26">
        <f aca="true" t="shared" si="40" ref="G145:L145">G146+G147+G148</f>
        <v>6501327.970000001</v>
      </c>
      <c r="H145" s="26">
        <f t="shared" si="40"/>
        <v>2568957</v>
      </c>
      <c r="I145" s="26">
        <f t="shared" si="40"/>
        <v>1360722.97</v>
      </c>
      <c r="J145" s="26">
        <f t="shared" si="40"/>
        <v>857216</v>
      </c>
      <c r="K145" s="26">
        <f t="shared" si="40"/>
        <v>857216</v>
      </c>
      <c r="L145" s="26">
        <f t="shared" si="40"/>
        <v>857216</v>
      </c>
      <c r="M145" s="81" t="s">
        <v>165</v>
      </c>
    </row>
    <row r="146" spans="1:14" ht="21.75" customHeight="1">
      <c r="A146" s="117"/>
      <c r="B146" s="99"/>
      <c r="C146" s="102"/>
      <c r="D146" s="120"/>
      <c r="E146" s="102"/>
      <c r="F146" s="16" t="s">
        <v>13</v>
      </c>
      <c r="G146" s="26">
        <f>H146+I146+J146+K146+L146</f>
        <v>2300398.99</v>
      </c>
      <c r="H146" s="26">
        <v>770687.1</v>
      </c>
      <c r="I146" s="26">
        <f>670000-411783.11+500000</f>
        <v>758216.89</v>
      </c>
      <c r="J146" s="26">
        <v>257165</v>
      </c>
      <c r="K146" s="26">
        <v>257165</v>
      </c>
      <c r="L146" s="26">
        <v>257165</v>
      </c>
      <c r="M146" s="82"/>
      <c r="N146" s="13"/>
    </row>
    <row r="147" spans="1:13" ht="21.75" customHeight="1">
      <c r="A147" s="117"/>
      <c r="B147" s="99"/>
      <c r="C147" s="102"/>
      <c r="D147" s="120"/>
      <c r="E147" s="102"/>
      <c r="F147" s="16" t="s">
        <v>14</v>
      </c>
      <c r="G147" s="26">
        <f>H147+I147+J147+K147+L147</f>
        <v>4200928.98</v>
      </c>
      <c r="H147" s="26">
        <v>1798269.9</v>
      </c>
      <c r="I147" s="26">
        <v>602506.08</v>
      </c>
      <c r="J147" s="26">
        <v>600051</v>
      </c>
      <c r="K147" s="26">
        <v>600051</v>
      </c>
      <c r="L147" s="26">
        <v>600051</v>
      </c>
      <c r="M147" s="82"/>
    </row>
    <row r="148" spans="1:13" ht="21.75" customHeight="1">
      <c r="A148" s="118"/>
      <c r="B148" s="100"/>
      <c r="C148" s="102"/>
      <c r="D148" s="121"/>
      <c r="E148" s="106"/>
      <c r="F148" s="16" t="s">
        <v>15</v>
      </c>
      <c r="G148" s="26">
        <f>H148+I148+J148+K148+L148</f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122"/>
    </row>
    <row r="149" spans="1:13" ht="21.75" customHeight="1">
      <c r="A149" s="61"/>
      <c r="B149" s="98" t="s">
        <v>90</v>
      </c>
      <c r="C149" s="101" t="s">
        <v>125</v>
      </c>
      <c r="D149" s="135" t="s">
        <v>156</v>
      </c>
      <c r="E149" s="101" t="s">
        <v>106</v>
      </c>
      <c r="F149" s="16" t="s">
        <v>12</v>
      </c>
      <c r="G149" s="26">
        <f>G150+G151+G152</f>
        <v>227000</v>
      </c>
      <c r="H149" s="26">
        <v>0</v>
      </c>
      <c r="I149" s="26">
        <f>I150+I151+I152</f>
        <v>0</v>
      </c>
      <c r="J149" s="26">
        <f>J150+J151+J152</f>
        <v>0</v>
      </c>
      <c r="K149" s="26">
        <v>0</v>
      </c>
      <c r="L149" s="26">
        <f>L150+L151+L152</f>
        <v>0</v>
      </c>
      <c r="M149" s="81" t="s">
        <v>171</v>
      </c>
    </row>
    <row r="150" spans="1:13" ht="21.75" customHeight="1">
      <c r="A150" s="61" t="s">
        <v>167</v>
      </c>
      <c r="B150" s="99"/>
      <c r="C150" s="102"/>
      <c r="D150" s="136"/>
      <c r="E150" s="102"/>
      <c r="F150" s="16" t="s">
        <v>13</v>
      </c>
      <c r="G150" s="26">
        <f>H150+I150+J150+K150+L150</f>
        <v>227000</v>
      </c>
      <c r="H150" s="26">
        <v>227000</v>
      </c>
      <c r="I150" s="26">
        <v>0</v>
      </c>
      <c r="J150" s="26">
        <v>0</v>
      </c>
      <c r="K150" s="26">
        <v>0</v>
      </c>
      <c r="L150" s="26">
        <v>0</v>
      </c>
      <c r="M150" s="82"/>
    </row>
    <row r="151" spans="1:13" ht="21.75" customHeight="1">
      <c r="A151" s="61"/>
      <c r="B151" s="99"/>
      <c r="C151" s="102"/>
      <c r="D151" s="136"/>
      <c r="E151" s="102"/>
      <c r="F151" s="16" t="s">
        <v>14</v>
      </c>
      <c r="G151" s="26">
        <f>H151+I151+J151+K151+L151</f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82"/>
    </row>
    <row r="152" spans="1:13" ht="21.75" customHeight="1">
      <c r="A152" s="61"/>
      <c r="B152" s="100"/>
      <c r="C152" s="102"/>
      <c r="D152" s="137"/>
      <c r="E152" s="106"/>
      <c r="F152" s="16" t="s">
        <v>15</v>
      </c>
      <c r="G152" s="26">
        <f>H152+I152+J152+K152+L152</f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82"/>
    </row>
    <row r="153" spans="1:13" ht="21.75" customHeight="1">
      <c r="A153" s="116" t="s">
        <v>168</v>
      </c>
      <c r="B153" s="98" t="s">
        <v>157</v>
      </c>
      <c r="C153" s="101" t="s">
        <v>125</v>
      </c>
      <c r="D153" s="103" t="s">
        <v>135</v>
      </c>
      <c r="E153" s="101" t="s">
        <v>106</v>
      </c>
      <c r="F153" s="16" t="s">
        <v>12</v>
      </c>
      <c r="G153" s="26">
        <f aca="true" t="shared" si="41" ref="G153:L153">G154+G155+G156</f>
        <v>77596365.32</v>
      </c>
      <c r="H153" s="26">
        <f t="shared" si="41"/>
        <v>8281288.9</v>
      </c>
      <c r="I153" s="26">
        <f t="shared" si="41"/>
        <v>16181140.54</v>
      </c>
      <c r="J153" s="26">
        <f t="shared" si="41"/>
        <v>17660815.92</v>
      </c>
      <c r="K153" s="26">
        <f t="shared" si="41"/>
        <v>17537325.6</v>
      </c>
      <c r="L153" s="26">
        <f t="shared" si="41"/>
        <v>17935794.36</v>
      </c>
      <c r="M153" s="81" t="s">
        <v>161</v>
      </c>
    </row>
    <row r="154" spans="1:13" ht="21.75" customHeight="1">
      <c r="A154" s="117"/>
      <c r="B154" s="99"/>
      <c r="C154" s="102"/>
      <c r="D154" s="104"/>
      <c r="E154" s="102"/>
      <c r="F154" s="16" t="s">
        <v>13</v>
      </c>
      <c r="G154" s="26">
        <f>H154+I154+J154+K154+L154</f>
        <v>77596.37</v>
      </c>
      <c r="H154" s="26">
        <v>8281.29</v>
      </c>
      <c r="I154" s="26">
        <v>16181.139999999996</v>
      </c>
      <c r="J154" s="26">
        <v>17660.82</v>
      </c>
      <c r="K154" s="26">
        <v>17537.33</v>
      </c>
      <c r="L154" s="26">
        <v>17935.79</v>
      </c>
      <c r="M154" s="82"/>
    </row>
    <row r="155" spans="1:13" ht="21.75" customHeight="1">
      <c r="A155" s="117"/>
      <c r="B155" s="99"/>
      <c r="C155" s="102"/>
      <c r="D155" s="104"/>
      <c r="E155" s="102"/>
      <c r="F155" s="16" t="s">
        <v>14</v>
      </c>
      <c r="G155" s="26">
        <f>H155+I155+J155+K155+L155</f>
        <v>8798327.21</v>
      </c>
      <c r="H155" s="26">
        <f>1873906.61+1</f>
        <v>1873907.61</v>
      </c>
      <c r="I155" s="26">
        <v>1616459.4000000001</v>
      </c>
      <c r="J155" s="26">
        <v>1764275.63</v>
      </c>
      <c r="K155" s="26">
        <v>1751939.22</v>
      </c>
      <c r="L155" s="26">
        <v>1791745.35</v>
      </c>
      <c r="M155" s="82"/>
    </row>
    <row r="156" spans="1:13" ht="21.75" customHeight="1">
      <c r="A156" s="118"/>
      <c r="B156" s="100"/>
      <c r="C156" s="102"/>
      <c r="D156" s="105"/>
      <c r="E156" s="106"/>
      <c r="F156" s="16" t="s">
        <v>15</v>
      </c>
      <c r="G156" s="26">
        <f>H156+I156+J156+K156+L156</f>
        <v>68720441.74</v>
      </c>
      <c r="H156" s="26">
        <v>6399100</v>
      </c>
      <c r="I156" s="26">
        <v>14548499.999999998</v>
      </c>
      <c r="J156" s="26">
        <v>15878879.47</v>
      </c>
      <c r="K156" s="26">
        <v>15767849.05</v>
      </c>
      <c r="L156" s="26">
        <v>16126113.22</v>
      </c>
      <c r="M156" s="122"/>
    </row>
    <row r="157" spans="1:13" ht="21.75" customHeight="1" outlineLevel="1">
      <c r="A157" s="116" t="s">
        <v>178</v>
      </c>
      <c r="B157" s="98" t="s">
        <v>180</v>
      </c>
      <c r="C157" s="101" t="s">
        <v>125</v>
      </c>
      <c r="D157" s="103" t="s">
        <v>135</v>
      </c>
      <c r="E157" s="101" t="s">
        <v>106</v>
      </c>
      <c r="F157" s="16" t="s">
        <v>12</v>
      </c>
      <c r="G157" s="26">
        <f aca="true" t="shared" si="42" ref="G157:L157">G158+G159+G160</f>
        <v>12592973</v>
      </c>
      <c r="H157" s="26">
        <f t="shared" si="42"/>
        <v>0</v>
      </c>
      <c r="I157" s="26">
        <f t="shared" si="42"/>
        <v>0</v>
      </c>
      <c r="J157" s="26">
        <f t="shared" si="42"/>
        <v>4243923</v>
      </c>
      <c r="K157" s="26">
        <f t="shared" si="42"/>
        <v>4174525</v>
      </c>
      <c r="L157" s="26">
        <f t="shared" si="42"/>
        <v>4174525</v>
      </c>
      <c r="M157" s="81" t="s">
        <v>188</v>
      </c>
    </row>
    <row r="158" spans="1:13" ht="21.75" customHeight="1" outlineLevel="1">
      <c r="A158" s="117"/>
      <c r="B158" s="99"/>
      <c r="C158" s="102"/>
      <c r="D158" s="104"/>
      <c r="E158" s="102"/>
      <c r="F158" s="16" t="s">
        <v>13</v>
      </c>
      <c r="G158" s="26">
        <f>H158+I158+J158+K158+L158</f>
        <v>12592973</v>
      </c>
      <c r="H158" s="26"/>
      <c r="I158" s="26"/>
      <c r="J158" s="26">
        <v>4243923</v>
      </c>
      <c r="K158" s="26">
        <v>4174525</v>
      </c>
      <c r="L158" s="26">
        <v>4174525</v>
      </c>
      <c r="M158" s="82"/>
    </row>
    <row r="159" spans="1:13" ht="21.75" customHeight="1" outlineLevel="1">
      <c r="A159" s="117"/>
      <c r="B159" s="99"/>
      <c r="C159" s="102"/>
      <c r="D159" s="104"/>
      <c r="E159" s="102"/>
      <c r="F159" s="16" t="s">
        <v>14</v>
      </c>
      <c r="G159" s="26">
        <f>H159+I159+J159+K159+L159</f>
        <v>0</v>
      </c>
      <c r="H159" s="26"/>
      <c r="I159" s="26"/>
      <c r="J159" s="26">
        <v>0</v>
      </c>
      <c r="K159" s="26">
        <v>0</v>
      </c>
      <c r="L159" s="26">
        <v>0</v>
      </c>
      <c r="M159" s="82"/>
    </row>
    <row r="160" spans="1:13" ht="21.75" customHeight="1" outlineLevel="1">
      <c r="A160" s="118"/>
      <c r="B160" s="100"/>
      <c r="C160" s="102"/>
      <c r="D160" s="105"/>
      <c r="E160" s="106"/>
      <c r="F160" s="16" t="s">
        <v>15</v>
      </c>
      <c r="G160" s="26">
        <f>H160+I160+J160+K160+L160</f>
        <v>0</v>
      </c>
      <c r="H160" s="26"/>
      <c r="I160" s="26"/>
      <c r="J160" s="26">
        <v>0</v>
      </c>
      <c r="K160" s="26">
        <v>0</v>
      </c>
      <c r="L160" s="26">
        <v>0</v>
      </c>
      <c r="M160" s="122"/>
    </row>
    <row r="161" spans="1:13" ht="21.75" customHeight="1" outlineLevel="1">
      <c r="A161" s="116" t="s">
        <v>179</v>
      </c>
      <c r="B161" s="98" t="s">
        <v>181</v>
      </c>
      <c r="C161" s="101" t="s">
        <v>125</v>
      </c>
      <c r="D161" s="103" t="s">
        <v>135</v>
      </c>
      <c r="E161" s="101" t="s">
        <v>106</v>
      </c>
      <c r="F161" s="16" t="s">
        <v>12</v>
      </c>
      <c r="G161" s="26">
        <f aca="true" t="shared" si="43" ref="G161:L161">G162+G163+G164</f>
        <v>6402467</v>
      </c>
      <c r="H161" s="26">
        <f t="shared" si="43"/>
        <v>0</v>
      </c>
      <c r="I161" s="26">
        <f t="shared" si="43"/>
        <v>0</v>
      </c>
      <c r="J161" s="26">
        <f t="shared" si="43"/>
        <v>1630221</v>
      </c>
      <c r="K161" s="26">
        <f t="shared" si="43"/>
        <v>2386123</v>
      </c>
      <c r="L161" s="26">
        <f t="shared" si="43"/>
        <v>2386123</v>
      </c>
      <c r="M161" s="81" t="s">
        <v>184</v>
      </c>
    </row>
    <row r="162" spans="1:13" ht="21.75" customHeight="1" outlineLevel="1">
      <c r="A162" s="117"/>
      <c r="B162" s="99"/>
      <c r="C162" s="102"/>
      <c r="D162" s="104"/>
      <c r="E162" s="102"/>
      <c r="F162" s="16" t="s">
        <v>13</v>
      </c>
      <c r="G162" s="26">
        <f>H162+I162+J162+K162+L162</f>
        <v>6402467</v>
      </c>
      <c r="H162" s="26"/>
      <c r="I162" s="26"/>
      <c r="J162" s="26">
        <v>1630221</v>
      </c>
      <c r="K162" s="26">
        <v>2386123</v>
      </c>
      <c r="L162" s="26">
        <v>2386123</v>
      </c>
      <c r="M162" s="82"/>
    </row>
    <row r="163" spans="1:13" ht="21.75" customHeight="1" outlineLevel="1">
      <c r="A163" s="117"/>
      <c r="B163" s="99"/>
      <c r="C163" s="102"/>
      <c r="D163" s="104"/>
      <c r="E163" s="102"/>
      <c r="F163" s="16" t="s">
        <v>14</v>
      </c>
      <c r="G163" s="26">
        <f>H163+I163+J163+K163+L163</f>
        <v>0</v>
      </c>
      <c r="H163" s="26"/>
      <c r="I163" s="26"/>
      <c r="J163" s="26">
        <v>0</v>
      </c>
      <c r="K163" s="26">
        <v>0</v>
      </c>
      <c r="L163" s="26">
        <v>0</v>
      </c>
      <c r="M163" s="82"/>
    </row>
    <row r="164" spans="1:13" ht="21.75" customHeight="1" outlineLevel="1">
      <c r="A164" s="118"/>
      <c r="B164" s="100"/>
      <c r="C164" s="102"/>
      <c r="D164" s="105"/>
      <c r="E164" s="106"/>
      <c r="F164" s="16" t="s">
        <v>15</v>
      </c>
      <c r="G164" s="26">
        <f>H164+I164+J164+K164+L164</f>
        <v>0</v>
      </c>
      <c r="H164" s="26"/>
      <c r="I164" s="26"/>
      <c r="J164" s="26">
        <v>0</v>
      </c>
      <c r="K164" s="26">
        <v>0</v>
      </c>
      <c r="L164" s="26">
        <v>0</v>
      </c>
      <c r="M164" s="122"/>
    </row>
    <row r="165" spans="1:13" ht="22.5" customHeight="1">
      <c r="A165" s="107" t="s">
        <v>55</v>
      </c>
      <c r="B165" s="110" t="s">
        <v>147</v>
      </c>
      <c r="C165" s="113" t="s">
        <v>125</v>
      </c>
      <c r="D165" s="134" t="s">
        <v>122</v>
      </c>
      <c r="E165" s="113" t="s">
        <v>106</v>
      </c>
      <c r="F165" s="39" t="s">
        <v>12</v>
      </c>
      <c r="G165" s="40">
        <f aca="true" t="shared" si="44" ref="G165:L165">G166+G167+G168</f>
        <v>84498463</v>
      </c>
      <c r="H165" s="40">
        <f>H166+H167+H168</f>
        <v>21453187.27</v>
      </c>
      <c r="I165" s="40">
        <f>I166+I167+I168</f>
        <v>27523645.13</v>
      </c>
      <c r="J165" s="40">
        <f>J166+J167+J168</f>
        <v>12913072.44</v>
      </c>
      <c r="K165" s="40">
        <f t="shared" si="44"/>
        <v>10582612.16</v>
      </c>
      <c r="L165" s="40">
        <f t="shared" si="44"/>
        <v>12025946</v>
      </c>
      <c r="M165" s="126"/>
    </row>
    <row r="166" spans="1:13" ht="22.5" customHeight="1">
      <c r="A166" s="108"/>
      <c r="B166" s="111"/>
      <c r="C166" s="114"/>
      <c r="D166" s="139"/>
      <c r="E166" s="114"/>
      <c r="F166" s="39" t="s">
        <v>13</v>
      </c>
      <c r="G166" s="40">
        <f>H166+I166+J166+K166+L166</f>
        <v>57826029.7</v>
      </c>
      <c r="H166" s="40">
        <f aca="true" t="shared" si="45" ref="H166:L168">H170+H174+H178+H186+H198+H182+H190</f>
        <v>9911340.129999999</v>
      </c>
      <c r="I166" s="40">
        <f>I170+I174+I178+I186+I198+I182+I190</f>
        <v>12393058.969999999</v>
      </c>
      <c r="J166" s="40">
        <f t="shared" si="45"/>
        <v>12913072.44</v>
      </c>
      <c r="K166" s="40">
        <f t="shared" si="45"/>
        <v>10582612.16</v>
      </c>
      <c r="L166" s="40">
        <f t="shared" si="45"/>
        <v>12025946</v>
      </c>
      <c r="M166" s="127"/>
    </row>
    <row r="167" spans="1:13" ht="22.5" customHeight="1">
      <c r="A167" s="108"/>
      <c r="B167" s="111"/>
      <c r="C167" s="114"/>
      <c r="D167" s="139"/>
      <c r="E167" s="114"/>
      <c r="F167" s="39" t="s">
        <v>14</v>
      </c>
      <c r="G167" s="40">
        <f>H167+I167+J167+K167+L167</f>
        <v>26672433.3</v>
      </c>
      <c r="H167" s="40">
        <f t="shared" si="45"/>
        <v>11541847.14</v>
      </c>
      <c r="I167" s="40">
        <f t="shared" si="45"/>
        <v>15130586.16</v>
      </c>
      <c r="J167" s="40">
        <f t="shared" si="45"/>
        <v>0</v>
      </c>
      <c r="K167" s="40">
        <f t="shared" si="45"/>
        <v>0</v>
      </c>
      <c r="L167" s="40">
        <f t="shared" si="45"/>
        <v>0</v>
      </c>
      <c r="M167" s="127"/>
    </row>
    <row r="168" spans="1:26" ht="22.5" customHeight="1">
      <c r="A168" s="109"/>
      <c r="B168" s="112"/>
      <c r="C168" s="115"/>
      <c r="D168" s="140"/>
      <c r="E168" s="115"/>
      <c r="F168" s="39" t="s">
        <v>15</v>
      </c>
      <c r="G168" s="40">
        <f>H168+I168+J168+K168+L168</f>
        <v>0</v>
      </c>
      <c r="H168" s="40">
        <f t="shared" si="45"/>
        <v>0</v>
      </c>
      <c r="I168" s="40">
        <f t="shared" si="45"/>
        <v>0</v>
      </c>
      <c r="J168" s="40">
        <f t="shared" si="45"/>
        <v>0</v>
      </c>
      <c r="K168" s="40">
        <f t="shared" si="45"/>
        <v>0</v>
      </c>
      <c r="L168" s="40">
        <f t="shared" si="45"/>
        <v>0</v>
      </c>
      <c r="M168" s="128"/>
      <c r="Y168" s="138" t="s">
        <v>87</v>
      </c>
      <c r="Z168" s="3"/>
    </row>
    <row r="169" spans="1:25" ht="21.75" customHeight="1">
      <c r="A169" s="116" t="s">
        <v>56</v>
      </c>
      <c r="B169" s="98" t="s">
        <v>77</v>
      </c>
      <c r="C169" s="101" t="s">
        <v>125</v>
      </c>
      <c r="D169" s="103" t="s">
        <v>138</v>
      </c>
      <c r="E169" s="101" t="s">
        <v>106</v>
      </c>
      <c r="F169" s="16" t="s">
        <v>12</v>
      </c>
      <c r="G169" s="26">
        <f aca="true" t="shared" si="46" ref="G169:L169">G170+G171+G172</f>
        <v>59607974</v>
      </c>
      <c r="H169" s="26">
        <f t="shared" si="46"/>
        <v>14048396.27</v>
      </c>
      <c r="I169" s="26">
        <f t="shared" si="46"/>
        <v>23290645.13</v>
      </c>
      <c r="J169" s="26">
        <f t="shared" si="46"/>
        <v>9395506.44</v>
      </c>
      <c r="K169" s="26">
        <f t="shared" si="46"/>
        <v>5565046.16</v>
      </c>
      <c r="L169" s="26">
        <f t="shared" si="46"/>
        <v>7308380</v>
      </c>
      <c r="M169" s="82" t="s">
        <v>151</v>
      </c>
      <c r="Y169" s="138"/>
    </row>
    <row r="170" spans="1:25" ht="21.75" customHeight="1">
      <c r="A170" s="117"/>
      <c r="B170" s="99"/>
      <c r="C170" s="102"/>
      <c r="D170" s="104"/>
      <c r="E170" s="102"/>
      <c r="F170" s="16" t="s">
        <v>13</v>
      </c>
      <c r="G170" s="26">
        <f>H170+I170+J170+K170+L170</f>
        <v>36406594.7</v>
      </c>
      <c r="H170" s="26">
        <f>4000000-H126-H106+334873.66+53210+571000.3+10000+159070+599000+565000-21070.83</f>
        <v>4977603.13</v>
      </c>
      <c r="I170" s="26">
        <f>7673601.18+600000+400000-13542.21+500000</f>
        <v>9160058.969999999</v>
      </c>
      <c r="J170" s="26">
        <f>525000+1263497+500000+3764124+1500000+500000+718810.2+624075.24</f>
        <v>9395506.44</v>
      </c>
      <c r="K170" s="26">
        <f>975565+1375565+1000000+500000+1713916.16</f>
        <v>5565046.16</v>
      </c>
      <c r="L170" s="26">
        <f>1975565+2375565+1457250+1000000+500000</f>
        <v>7308380</v>
      </c>
      <c r="M170" s="82"/>
      <c r="O170" s="3">
        <f>1759000+1400000+4507295+1195000</f>
        <v>8861295</v>
      </c>
      <c r="P170" s="3">
        <f>O170-N170</f>
        <v>8861295</v>
      </c>
      <c r="Y170" s="138"/>
    </row>
    <row r="171" spans="1:25" ht="21.75" customHeight="1">
      <c r="A171" s="117"/>
      <c r="B171" s="99"/>
      <c r="C171" s="102"/>
      <c r="D171" s="104"/>
      <c r="E171" s="102"/>
      <c r="F171" s="16" t="s">
        <v>14</v>
      </c>
      <c r="G171" s="26">
        <f>H171+I171+J171+K171+L171</f>
        <v>23201379.3</v>
      </c>
      <c r="H171" s="26">
        <f>3714220.8+5356572.34</f>
        <v>9070793.14</v>
      </c>
      <c r="I171" s="26">
        <v>14130586.16</v>
      </c>
      <c r="J171" s="26">
        <v>0</v>
      </c>
      <c r="K171" s="26">
        <v>0</v>
      </c>
      <c r="L171" s="26">
        <v>0</v>
      </c>
      <c r="M171" s="82"/>
      <c r="P171" s="3"/>
      <c r="Y171" s="138"/>
    </row>
    <row r="172" spans="1:25" ht="21.75" customHeight="1">
      <c r="A172" s="118"/>
      <c r="B172" s="100"/>
      <c r="C172" s="102"/>
      <c r="D172" s="105"/>
      <c r="E172" s="106"/>
      <c r="F172" s="16" t="s">
        <v>15</v>
      </c>
      <c r="G172" s="26">
        <f>H172+I172+J172+K172+L172</f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82"/>
      <c r="N172" s="14"/>
      <c r="Y172" s="138"/>
    </row>
    <row r="173" spans="1:25" ht="21.75" customHeight="1">
      <c r="A173" s="116" t="s">
        <v>57</v>
      </c>
      <c r="B173" s="98" t="s">
        <v>59</v>
      </c>
      <c r="C173" s="101" t="s">
        <v>125</v>
      </c>
      <c r="D173" s="135" t="s">
        <v>130</v>
      </c>
      <c r="E173" s="101" t="s">
        <v>106</v>
      </c>
      <c r="F173" s="16" t="s">
        <v>12</v>
      </c>
      <c r="G173" s="26">
        <f aca="true" t="shared" si="47" ref="G173:L173">G174+G175+G176</f>
        <v>6525000</v>
      </c>
      <c r="H173" s="26">
        <f t="shared" si="47"/>
        <v>2525000</v>
      </c>
      <c r="I173" s="26">
        <f t="shared" si="47"/>
        <v>2000000</v>
      </c>
      <c r="J173" s="26">
        <f t="shared" si="47"/>
        <v>0</v>
      </c>
      <c r="K173" s="26">
        <f t="shared" si="47"/>
        <v>1000000</v>
      </c>
      <c r="L173" s="26">
        <f t="shared" si="47"/>
        <v>1000000</v>
      </c>
      <c r="M173" s="82"/>
      <c r="N173" s="3"/>
      <c r="V173" s="3" t="e">
        <f>#REF!+#REF!+#REF!+#REF!</f>
        <v>#REF!</v>
      </c>
      <c r="Y173" s="138"/>
    </row>
    <row r="174" spans="1:25" ht="21.75" customHeight="1">
      <c r="A174" s="117"/>
      <c r="B174" s="99"/>
      <c r="C174" s="102"/>
      <c r="D174" s="136"/>
      <c r="E174" s="102"/>
      <c r="F174" s="16" t="s">
        <v>13</v>
      </c>
      <c r="G174" s="26">
        <f>H174+I174+J174+K174+L174</f>
        <v>4052500</v>
      </c>
      <c r="H174" s="26">
        <f>1000000+47250+5250</f>
        <v>1052500</v>
      </c>
      <c r="I174" s="26">
        <v>1000000</v>
      </c>
      <c r="J174" s="26">
        <v>0</v>
      </c>
      <c r="K174" s="26">
        <v>1000000</v>
      </c>
      <c r="L174" s="26">
        <v>1000000</v>
      </c>
      <c r="M174" s="82"/>
      <c r="Y174" s="138"/>
    </row>
    <row r="175" spans="1:25" ht="21.75" customHeight="1">
      <c r="A175" s="117"/>
      <c r="B175" s="99"/>
      <c r="C175" s="102"/>
      <c r="D175" s="136"/>
      <c r="E175" s="102"/>
      <c r="F175" s="16" t="s">
        <v>14</v>
      </c>
      <c r="G175" s="26">
        <f>H175+I175+J175+K175+L175</f>
        <v>2472500</v>
      </c>
      <c r="H175" s="26">
        <f>1000000+472500</f>
        <v>1472500</v>
      </c>
      <c r="I175" s="26">
        <v>1000000</v>
      </c>
      <c r="J175" s="26">
        <v>0</v>
      </c>
      <c r="K175" s="26">
        <v>0</v>
      </c>
      <c r="L175" s="26">
        <v>0</v>
      </c>
      <c r="M175" s="82"/>
      <c r="Y175" s="138"/>
    </row>
    <row r="176" spans="1:25" ht="21.75" customHeight="1">
      <c r="A176" s="118"/>
      <c r="B176" s="100"/>
      <c r="C176" s="102"/>
      <c r="D176" s="137"/>
      <c r="E176" s="106"/>
      <c r="F176" s="16" t="s">
        <v>15</v>
      </c>
      <c r="G176" s="26">
        <f>H176+I176+J176+K176+L176</f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82"/>
      <c r="Y176" s="138"/>
    </row>
    <row r="177" spans="1:25" ht="21.75" customHeight="1">
      <c r="A177" s="116" t="s">
        <v>58</v>
      </c>
      <c r="B177" s="98" t="s">
        <v>110</v>
      </c>
      <c r="C177" s="101" t="s">
        <v>125</v>
      </c>
      <c r="D177" s="103" t="s">
        <v>122</v>
      </c>
      <c r="E177" s="101" t="s">
        <v>106</v>
      </c>
      <c r="F177" s="16" t="s">
        <v>12</v>
      </c>
      <c r="G177" s="26">
        <f aca="true" t="shared" si="48" ref="G177:L177">G178+G179+G180</f>
        <v>12723773</v>
      </c>
      <c r="H177" s="26">
        <f t="shared" si="48"/>
        <v>3038075</v>
      </c>
      <c r="I177" s="26">
        <f t="shared" si="48"/>
        <v>2233000</v>
      </c>
      <c r="J177" s="26">
        <f t="shared" si="48"/>
        <v>2417566</v>
      </c>
      <c r="K177" s="26">
        <f t="shared" si="48"/>
        <v>2317566</v>
      </c>
      <c r="L177" s="26">
        <f t="shared" si="48"/>
        <v>2717566</v>
      </c>
      <c r="M177" s="82"/>
      <c r="Y177" s="138"/>
    </row>
    <row r="178" spans="1:25" ht="21.75" customHeight="1">
      <c r="A178" s="117"/>
      <c r="B178" s="99"/>
      <c r="C178" s="102"/>
      <c r="D178" s="104"/>
      <c r="E178" s="102"/>
      <c r="F178" s="16" t="s">
        <v>13</v>
      </c>
      <c r="G178" s="26">
        <f aca="true" t="shared" si="49" ref="G178:G200">H178+I178+J178+K178+L178</f>
        <v>12585698</v>
      </c>
      <c r="H178" s="26">
        <f>3200000-300000-62034+62034</f>
        <v>2900000</v>
      </c>
      <c r="I178" s="26">
        <f>1933000+300000</f>
        <v>2233000</v>
      </c>
      <c r="J178" s="26">
        <f>1127003+1186637+103926</f>
        <v>2417566</v>
      </c>
      <c r="K178" s="26">
        <f>1027003+1186637+103926</f>
        <v>2317566</v>
      </c>
      <c r="L178" s="26">
        <f>1427003+1186637+103926</f>
        <v>2717566</v>
      </c>
      <c r="M178" s="82"/>
      <c r="Y178" s="138"/>
    </row>
    <row r="179" spans="1:25" ht="21.75" customHeight="1">
      <c r="A179" s="117"/>
      <c r="B179" s="99"/>
      <c r="C179" s="102"/>
      <c r="D179" s="104"/>
      <c r="E179" s="102"/>
      <c r="F179" s="16" t="s">
        <v>14</v>
      </c>
      <c r="G179" s="26">
        <f t="shared" si="49"/>
        <v>138075</v>
      </c>
      <c r="H179" s="26">
        <v>138075</v>
      </c>
      <c r="I179" s="26">
        <v>0</v>
      </c>
      <c r="J179" s="26">
        <v>0</v>
      </c>
      <c r="K179" s="26">
        <v>0</v>
      </c>
      <c r="L179" s="26">
        <v>0</v>
      </c>
      <c r="M179" s="82"/>
      <c r="O179" s="3"/>
      <c r="Y179" s="138"/>
    </row>
    <row r="180" spans="1:25" ht="21.75" customHeight="1">
      <c r="A180" s="118"/>
      <c r="B180" s="100"/>
      <c r="C180" s="102"/>
      <c r="D180" s="105"/>
      <c r="E180" s="106"/>
      <c r="F180" s="16" t="s">
        <v>15</v>
      </c>
      <c r="G180" s="26">
        <f t="shared" si="49"/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82"/>
      <c r="O180" s="3"/>
      <c r="Y180" s="138"/>
    </row>
    <row r="181" spans="1:25" ht="21.75" customHeight="1">
      <c r="A181" s="61"/>
      <c r="B181" s="98" t="s">
        <v>98</v>
      </c>
      <c r="C181" s="101" t="s">
        <v>125</v>
      </c>
      <c r="D181" s="101"/>
      <c r="E181" s="101" t="s">
        <v>106</v>
      </c>
      <c r="F181" s="16" t="s">
        <v>12</v>
      </c>
      <c r="G181" s="26">
        <f aca="true" t="shared" si="50" ref="G181:L181">G182+G183+G184</f>
        <v>0</v>
      </c>
      <c r="H181" s="26">
        <f t="shared" si="50"/>
        <v>0</v>
      </c>
      <c r="I181" s="26">
        <f t="shared" si="50"/>
        <v>0</v>
      </c>
      <c r="J181" s="26">
        <f t="shared" si="50"/>
        <v>0</v>
      </c>
      <c r="K181" s="26">
        <f t="shared" si="50"/>
        <v>0</v>
      </c>
      <c r="L181" s="26">
        <f t="shared" si="50"/>
        <v>0</v>
      </c>
      <c r="M181" s="82"/>
      <c r="O181" s="3"/>
      <c r="Y181" s="15"/>
    </row>
    <row r="182" spans="1:25" ht="21.75" customHeight="1">
      <c r="A182" s="61"/>
      <c r="B182" s="99"/>
      <c r="C182" s="102"/>
      <c r="D182" s="102"/>
      <c r="E182" s="102"/>
      <c r="F182" s="16" t="s">
        <v>13</v>
      </c>
      <c r="G182" s="26">
        <f t="shared" si="49"/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82"/>
      <c r="O182" s="3"/>
      <c r="Y182" s="15"/>
    </row>
    <row r="183" spans="1:25" ht="21.75" customHeight="1">
      <c r="A183" s="63" t="s">
        <v>99</v>
      </c>
      <c r="B183" s="99"/>
      <c r="C183" s="102"/>
      <c r="D183" s="102"/>
      <c r="E183" s="102"/>
      <c r="F183" s="16" t="s">
        <v>14</v>
      </c>
      <c r="G183" s="26">
        <f t="shared" si="49"/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82"/>
      <c r="O183" s="3"/>
      <c r="Y183" s="15"/>
    </row>
    <row r="184" spans="1:25" ht="21.75" customHeight="1">
      <c r="A184" s="61"/>
      <c r="B184" s="100"/>
      <c r="C184" s="102"/>
      <c r="D184" s="106"/>
      <c r="E184" s="106"/>
      <c r="F184" s="16" t="s">
        <v>15</v>
      </c>
      <c r="G184" s="26">
        <f t="shared" si="49"/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82"/>
      <c r="O184" s="3"/>
      <c r="Y184" s="15"/>
    </row>
    <row r="185" spans="1:13" ht="21.75" customHeight="1">
      <c r="A185" s="116" t="s">
        <v>60</v>
      </c>
      <c r="B185" s="98" t="s">
        <v>61</v>
      </c>
      <c r="C185" s="101" t="s">
        <v>125</v>
      </c>
      <c r="D185" s="119" t="s">
        <v>140</v>
      </c>
      <c r="E185" s="101" t="s">
        <v>106</v>
      </c>
      <c r="F185" s="16" t="s">
        <v>12</v>
      </c>
      <c r="G185" s="26">
        <f aca="true" t="shared" si="51" ref="G185:L185">G186+G187+G188</f>
        <v>4325000</v>
      </c>
      <c r="H185" s="26">
        <f t="shared" si="51"/>
        <v>525000</v>
      </c>
      <c r="I185" s="26">
        <f t="shared" si="51"/>
        <v>0</v>
      </c>
      <c r="J185" s="26">
        <f t="shared" si="51"/>
        <v>1100000</v>
      </c>
      <c r="K185" s="26">
        <f t="shared" si="51"/>
        <v>1700000</v>
      </c>
      <c r="L185" s="26">
        <f t="shared" si="51"/>
        <v>1000000</v>
      </c>
      <c r="M185" s="82"/>
    </row>
    <row r="186" spans="1:15" ht="21.75" customHeight="1">
      <c r="A186" s="117"/>
      <c r="B186" s="99"/>
      <c r="C186" s="102"/>
      <c r="D186" s="120"/>
      <c r="E186" s="102"/>
      <c r="F186" s="16" t="s">
        <v>13</v>
      </c>
      <c r="G186" s="26">
        <f t="shared" si="49"/>
        <v>4325000</v>
      </c>
      <c r="H186" s="26">
        <f>700000+300000-475000</f>
        <v>525000</v>
      </c>
      <c r="I186" s="26">
        <v>0</v>
      </c>
      <c r="J186" s="26">
        <f>500000+600000</f>
        <v>1100000</v>
      </c>
      <c r="K186" s="26">
        <f>700000+300000+700000</f>
        <v>1700000</v>
      </c>
      <c r="L186" s="26">
        <f>700000+300000</f>
        <v>1000000</v>
      </c>
      <c r="M186" s="82"/>
      <c r="O186" s="2">
        <v>854209197.4</v>
      </c>
    </row>
    <row r="187" spans="1:15" ht="21.75" customHeight="1">
      <c r="A187" s="117"/>
      <c r="B187" s="99"/>
      <c r="C187" s="102"/>
      <c r="D187" s="120"/>
      <c r="E187" s="102"/>
      <c r="F187" s="16" t="s">
        <v>14</v>
      </c>
      <c r="G187" s="26">
        <f t="shared" si="49"/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82"/>
      <c r="O187" s="2">
        <v>852492090</v>
      </c>
    </row>
    <row r="188" spans="1:15" ht="21.75" customHeight="1">
      <c r="A188" s="118"/>
      <c r="B188" s="100"/>
      <c r="C188" s="102"/>
      <c r="D188" s="121"/>
      <c r="E188" s="106"/>
      <c r="F188" s="16" t="s">
        <v>15</v>
      </c>
      <c r="G188" s="26">
        <f t="shared" si="49"/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82"/>
      <c r="O188" s="2">
        <f>O186-O187</f>
        <v>1717107.3999999762</v>
      </c>
    </row>
    <row r="189" spans="1:13" ht="21.75" customHeight="1">
      <c r="A189" s="61"/>
      <c r="B189" s="98" t="s">
        <v>97</v>
      </c>
      <c r="C189" s="101" t="s">
        <v>125</v>
      </c>
      <c r="D189" s="101"/>
      <c r="E189" s="101" t="s">
        <v>106</v>
      </c>
      <c r="F189" s="16" t="s">
        <v>12</v>
      </c>
      <c r="G189" s="26">
        <f aca="true" t="shared" si="52" ref="G189:L189">G190+G191+G192</f>
        <v>0</v>
      </c>
      <c r="H189" s="26">
        <f t="shared" si="52"/>
        <v>0</v>
      </c>
      <c r="I189" s="26">
        <f t="shared" si="52"/>
        <v>0</v>
      </c>
      <c r="J189" s="26">
        <f t="shared" si="52"/>
        <v>0</v>
      </c>
      <c r="K189" s="26">
        <f t="shared" si="52"/>
        <v>0</v>
      </c>
      <c r="L189" s="26">
        <f t="shared" si="52"/>
        <v>0</v>
      </c>
      <c r="M189" s="82"/>
    </row>
    <row r="190" spans="1:13" ht="21.75" customHeight="1">
      <c r="A190" s="63" t="s">
        <v>100</v>
      </c>
      <c r="B190" s="99"/>
      <c r="C190" s="102"/>
      <c r="D190" s="102"/>
      <c r="E190" s="102"/>
      <c r="F190" s="16" t="s">
        <v>13</v>
      </c>
      <c r="G190" s="26">
        <f t="shared" si="49"/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82"/>
    </row>
    <row r="191" spans="1:13" ht="21.75" customHeight="1">
      <c r="A191" s="61"/>
      <c r="B191" s="99"/>
      <c r="C191" s="102"/>
      <c r="D191" s="102"/>
      <c r="E191" s="102"/>
      <c r="F191" s="16" t="s">
        <v>14</v>
      </c>
      <c r="G191" s="26">
        <f t="shared" si="49"/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82"/>
    </row>
    <row r="192" spans="1:13" ht="21.75" customHeight="1">
      <c r="A192" s="61"/>
      <c r="B192" s="100"/>
      <c r="C192" s="102"/>
      <c r="D192" s="106"/>
      <c r="E192" s="106"/>
      <c r="F192" s="16" t="s">
        <v>15</v>
      </c>
      <c r="G192" s="26">
        <f t="shared" si="49"/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82"/>
    </row>
    <row r="193" spans="1:13" ht="21.75" customHeight="1">
      <c r="A193" s="116" t="s">
        <v>101</v>
      </c>
      <c r="B193" s="98" t="s">
        <v>81</v>
      </c>
      <c r="C193" s="101" t="s">
        <v>125</v>
      </c>
      <c r="D193" s="101"/>
      <c r="E193" s="101" t="s">
        <v>106</v>
      </c>
      <c r="F193" s="16" t="s">
        <v>12</v>
      </c>
      <c r="G193" s="26">
        <f aca="true" t="shared" si="53" ref="G193:L193">G194+G195+G196</f>
        <v>0</v>
      </c>
      <c r="H193" s="26">
        <f t="shared" si="53"/>
        <v>0</v>
      </c>
      <c r="I193" s="26">
        <f t="shared" si="53"/>
        <v>0</v>
      </c>
      <c r="J193" s="26">
        <f t="shared" si="53"/>
        <v>0</v>
      </c>
      <c r="K193" s="26">
        <f t="shared" si="53"/>
        <v>0</v>
      </c>
      <c r="L193" s="26">
        <f t="shared" si="53"/>
        <v>0</v>
      </c>
      <c r="M193" s="82"/>
    </row>
    <row r="194" spans="1:13" ht="21.75" customHeight="1">
      <c r="A194" s="117"/>
      <c r="B194" s="99"/>
      <c r="C194" s="102"/>
      <c r="D194" s="102"/>
      <c r="E194" s="102"/>
      <c r="F194" s="16" t="s">
        <v>13</v>
      </c>
      <c r="G194" s="26">
        <f>H194+I194+J194+K194+L194</f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82"/>
    </row>
    <row r="195" spans="1:13" ht="21.75" customHeight="1">
      <c r="A195" s="117"/>
      <c r="B195" s="99"/>
      <c r="C195" s="102"/>
      <c r="D195" s="102"/>
      <c r="E195" s="102"/>
      <c r="F195" s="16" t="s">
        <v>14</v>
      </c>
      <c r="G195" s="26">
        <f>H195+I195+J195+K195+L195</f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82"/>
    </row>
    <row r="196" spans="1:13" ht="21.75" customHeight="1">
      <c r="A196" s="118"/>
      <c r="B196" s="100"/>
      <c r="C196" s="102"/>
      <c r="D196" s="106"/>
      <c r="E196" s="106"/>
      <c r="F196" s="16" t="s">
        <v>15</v>
      </c>
      <c r="G196" s="26">
        <f>H196+I196+J196+K196+L196</f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82"/>
    </row>
    <row r="197" spans="1:13" s="12" customFormat="1" ht="21.75" customHeight="1">
      <c r="A197" s="116" t="s">
        <v>154</v>
      </c>
      <c r="B197" s="98" t="s">
        <v>155</v>
      </c>
      <c r="C197" s="101" t="s">
        <v>125</v>
      </c>
      <c r="D197" s="131" t="s">
        <v>156</v>
      </c>
      <c r="E197" s="101" t="s">
        <v>106</v>
      </c>
      <c r="F197" s="16" t="s">
        <v>12</v>
      </c>
      <c r="G197" s="26">
        <f aca="true" t="shared" si="54" ref="G197:L197">G198+G199+G200</f>
        <v>1316716</v>
      </c>
      <c r="H197" s="26">
        <f t="shared" si="54"/>
        <v>1316716</v>
      </c>
      <c r="I197" s="26">
        <f t="shared" si="54"/>
        <v>0</v>
      </c>
      <c r="J197" s="26">
        <f t="shared" si="54"/>
        <v>0</v>
      </c>
      <c r="K197" s="26">
        <f t="shared" si="54"/>
        <v>0</v>
      </c>
      <c r="L197" s="26">
        <f t="shared" si="54"/>
        <v>0</v>
      </c>
      <c r="M197" s="82"/>
    </row>
    <row r="198" spans="1:13" s="12" customFormat="1" ht="21.75" customHeight="1">
      <c r="A198" s="117"/>
      <c r="B198" s="99"/>
      <c r="C198" s="102"/>
      <c r="D198" s="132"/>
      <c r="E198" s="102"/>
      <c r="F198" s="16" t="s">
        <v>13</v>
      </c>
      <c r="G198" s="26">
        <f t="shared" si="49"/>
        <v>456237</v>
      </c>
      <c r="H198" s="26">
        <f>368777+87460</f>
        <v>456237</v>
      </c>
      <c r="I198" s="26">
        <v>0</v>
      </c>
      <c r="J198" s="26">
        <v>0</v>
      </c>
      <c r="K198" s="26">
        <v>0</v>
      </c>
      <c r="L198" s="26">
        <v>0</v>
      </c>
      <c r="M198" s="82"/>
    </row>
    <row r="199" spans="1:13" s="12" customFormat="1" ht="21.75" customHeight="1">
      <c r="A199" s="117"/>
      <c r="B199" s="99"/>
      <c r="C199" s="102"/>
      <c r="D199" s="132"/>
      <c r="E199" s="102"/>
      <c r="F199" s="16" t="s">
        <v>14</v>
      </c>
      <c r="G199" s="26">
        <f t="shared" si="49"/>
        <v>860479</v>
      </c>
      <c r="H199" s="26">
        <v>860479</v>
      </c>
      <c r="I199" s="26">
        <v>0</v>
      </c>
      <c r="J199" s="26">
        <v>0</v>
      </c>
      <c r="K199" s="26">
        <v>0</v>
      </c>
      <c r="L199" s="26">
        <v>0</v>
      </c>
      <c r="M199" s="82"/>
    </row>
    <row r="200" spans="1:13" s="12" customFormat="1" ht="21.75" customHeight="1">
      <c r="A200" s="118"/>
      <c r="B200" s="100"/>
      <c r="C200" s="102"/>
      <c r="D200" s="133"/>
      <c r="E200" s="106"/>
      <c r="F200" s="16" t="s">
        <v>15</v>
      </c>
      <c r="G200" s="26">
        <f t="shared" si="49"/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122"/>
    </row>
    <row r="201" spans="1:13" ht="21.75" customHeight="1">
      <c r="A201" s="107" t="s">
        <v>62</v>
      </c>
      <c r="B201" s="110" t="s">
        <v>148</v>
      </c>
      <c r="C201" s="113" t="s">
        <v>125</v>
      </c>
      <c r="D201" s="134" t="s">
        <v>142</v>
      </c>
      <c r="E201" s="113" t="s">
        <v>106</v>
      </c>
      <c r="F201" s="39" t="s">
        <v>12</v>
      </c>
      <c r="G201" s="40">
        <f aca="true" t="shared" si="55" ref="G201:L201">G202+G203+G204</f>
        <v>23886512.549999997</v>
      </c>
      <c r="H201" s="40">
        <f t="shared" si="55"/>
        <v>1942784.25</v>
      </c>
      <c r="I201" s="40">
        <f t="shared" si="55"/>
        <v>4335490.64</v>
      </c>
      <c r="J201" s="40">
        <f t="shared" si="55"/>
        <v>7869412.56</v>
      </c>
      <c r="K201" s="40">
        <f t="shared" si="55"/>
        <v>4869412.54</v>
      </c>
      <c r="L201" s="40">
        <f t="shared" si="55"/>
        <v>4869412.56</v>
      </c>
      <c r="M201" s="126"/>
    </row>
    <row r="202" spans="1:13" ht="21.75" customHeight="1">
      <c r="A202" s="108"/>
      <c r="B202" s="111"/>
      <c r="C202" s="114"/>
      <c r="D202" s="114"/>
      <c r="E202" s="114"/>
      <c r="F202" s="39" t="s">
        <v>13</v>
      </c>
      <c r="G202" s="40">
        <f>H202+I202+J202+K202+L202</f>
        <v>6965314.18</v>
      </c>
      <c r="H202" s="40">
        <f aca="true" t="shared" si="56" ref="H202:I204">H206+H210+H214+H222+H218</f>
        <v>1742784.25</v>
      </c>
      <c r="I202" s="40">
        <f>I206+I210+I214+I222+I218</f>
        <v>722529.9299999999</v>
      </c>
      <c r="J202" s="40">
        <f aca="true" t="shared" si="57" ref="J202:L204">J206+J210+J214+J222+J218</f>
        <v>3500000</v>
      </c>
      <c r="K202" s="40">
        <f t="shared" si="57"/>
        <v>500000</v>
      </c>
      <c r="L202" s="40">
        <f t="shared" si="57"/>
        <v>500000</v>
      </c>
      <c r="M202" s="127"/>
    </row>
    <row r="203" spans="1:13" ht="21.75" customHeight="1">
      <c r="A203" s="108"/>
      <c r="B203" s="111"/>
      <c r="C203" s="114"/>
      <c r="D203" s="114"/>
      <c r="E203" s="114"/>
      <c r="F203" s="39" t="s">
        <v>14</v>
      </c>
      <c r="G203" s="40">
        <f>H203+I203+J203+K203+L203</f>
        <v>16921198.369999997</v>
      </c>
      <c r="H203" s="40">
        <f t="shared" si="56"/>
        <v>200000</v>
      </c>
      <c r="I203" s="40">
        <f t="shared" si="56"/>
        <v>3612960.71</v>
      </c>
      <c r="J203" s="40">
        <f t="shared" si="57"/>
        <v>4369412.56</v>
      </c>
      <c r="K203" s="40">
        <f t="shared" si="57"/>
        <v>4369412.54</v>
      </c>
      <c r="L203" s="40">
        <f t="shared" si="57"/>
        <v>4369412.56</v>
      </c>
      <c r="M203" s="127"/>
    </row>
    <row r="204" spans="1:13" ht="21.75" customHeight="1">
      <c r="A204" s="109"/>
      <c r="B204" s="112"/>
      <c r="C204" s="115"/>
      <c r="D204" s="115"/>
      <c r="E204" s="115"/>
      <c r="F204" s="39" t="s">
        <v>15</v>
      </c>
      <c r="G204" s="40">
        <f>H204+I204+J204+K204+L204</f>
        <v>0</v>
      </c>
      <c r="H204" s="40">
        <f t="shared" si="56"/>
        <v>0</v>
      </c>
      <c r="I204" s="40">
        <f t="shared" si="56"/>
        <v>0</v>
      </c>
      <c r="J204" s="40">
        <f t="shared" si="57"/>
        <v>0</v>
      </c>
      <c r="K204" s="40">
        <f t="shared" si="57"/>
        <v>0</v>
      </c>
      <c r="L204" s="40">
        <f t="shared" si="57"/>
        <v>0</v>
      </c>
      <c r="M204" s="128"/>
    </row>
    <row r="205" spans="1:13" ht="21.75" customHeight="1">
      <c r="A205" s="116" t="s">
        <v>63</v>
      </c>
      <c r="B205" s="98" t="s">
        <v>64</v>
      </c>
      <c r="C205" s="101" t="s">
        <v>125</v>
      </c>
      <c r="D205" s="103" t="s">
        <v>128</v>
      </c>
      <c r="E205" s="101" t="s">
        <v>106</v>
      </c>
      <c r="F205" s="16" t="s">
        <v>12</v>
      </c>
      <c r="G205" s="26">
        <f aca="true" t="shared" si="58" ref="G205:L205">G206+G207+G208</f>
        <v>4637340.79</v>
      </c>
      <c r="H205" s="26">
        <f t="shared" si="58"/>
        <v>1426776.79</v>
      </c>
      <c r="I205" s="26">
        <f t="shared" si="58"/>
        <v>0</v>
      </c>
      <c r="J205" s="26">
        <f t="shared" si="58"/>
        <v>3070188</v>
      </c>
      <c r="K205" s="26">
        <f t="shared" si="58"/>
        <v>70188</v>
      </c>
      <c r="L205" s="26">
        <f t="shared" si="58"/>
        <v>70188</v>
      </c>
      <c r="M205" s="129" t="s">
        <v>177</v>
      </c>
    </row>
    <row r="206" spans="1:13" ht="21.75" customHeight="1">
      <c r="A206" s="117"/>
      <c r="B206" s="99"/>
      <c r="C206" s="102"/>
      <c r="D206" s="104"/>
      <c r="E206" s="102"/>
      <c r="F206" s="16" t="s">
        <v>13</v>
      </c>
      <c r="G206" s="26">
        <f>H206+I206+J206+K206+L206</f>
        <v>4637340.79</v>
      </c>
      <c r="H206" s="26">
        <f>76776.79+1000000+350000</f>
        <v>1426776.79</v>
      </c>
      <c r="I206" s="26">
        <v>0</v>
      </c>
      <c r="J206" s="26">
        <f>70188+3000000</f>
        <v>3070188</v>
      </c>
      <c r="K206" s="26">
        <v>70188</v>
      </c>
      <c r="L206" s="26">
        <v>70188</v>
      </c>
      <c r="M206" s="130"/>
    </row>
    <row r="207" spans="1:13" ht="21.75" customHeight="1">
      <c r="A207" s="117"/>
      <c r="B207" s="99"/>
      <c r="C207" s="102"/>
      <c r="D207" s="104"/>
      <c r="E207" s="102"/>
      <c r="F207" s="16" t="s">
        <v>14</v>
      </c>
      <c r="G207" s="26">
        <f>H207+I207+J207+K207+L207</f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130"/>
    </row>
    <row r="208" spans="1:13" ht="21.75" customHeight="1">
      <c r="A208" s="118"/>
      <c r="B208" s="100"/>
      <c r="C208" s="102"/>
      <c r="D208" s="105"/>
      <c r="E208" s="106"/>
      <c r="F208" s="16" t="s">
        <v>15</v>
      </c>
      <c r="G208" s="26">
        <f>H208+I208+J208+K208+L208</f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130"/>
    </row>
    <row r="209" spans="1:13" ht="21.75" customHeight="1">
      <c r="A209" s="116" t="s">
        <v>65</v>
      </c>
      <c r="B209" s="98" t="s">
        <v>66</v>
      </c>
      <c r="C209" s="101" t="s">
        <v>125</v>
      </c>
      <c r="D209" s="103" t="s">
        <v>142</v>
      </c>
      <c r="E209" s="101" t="s">
        <v>106</v>
      </c>
      <c r="F209" s="16" t="s">
        <v>12</v>
      </c>
      <c r="G209" s="26">
        <f aca="true" t="shared" si="59" ref="G209:L209">G210+G211+G212</f>
        <v>1266609.3900000001</v>
      </c>
      <c r="H209" s="26">
        <f t="shared" si="59"/>
        <v>199970.46</v>
      </c>
      <c r="I209" s="26">
        <f t="shared" si="59"/>
        <v>422529.93</v>
      </c>
      <c r="J209" s="26">
        <f t="shared" si="59"/>
        <v>214703</v>
      </c>
      <c r="K209" s="26">
        <f t="shared" si="59"/>
        <v>214703</v>
      </c>
      <c r="L209" s="26">
        <f t="shared" si="59"/>
        <v>214703</v>
      </c>
      <c r="M209" s="130"/>
    </row>
    <row r="210" spans="1:13" ht="21.75" customHeight="1">
      <c r="A210" s="117"/>
      <c r="B210" s="99"/>
      <c r="C210" s="102"/>
      <c r="D210" s="104"/>
      <c r="E210" s="102"/>
      <c r="F210" s="16" t="s">
        <v>13</v>
      </c>
      <c r="G210" s="26">
        <f>H210+I210+J210+K210+L210</f>
        <v>1266609.3900000001</v>
      </c>
      <c r="H210" s="26">
        <f>190170.46+9800</f>
        <v>199970.46</v>
      </c>
      <c r="I210" s="26">
        <v>422529.93</v>
      </c>
      <c r="J210" s="26">
        <v>214703</v>
      </c>
      <c r="K210" s="26">
        <v>214703</v>
      </c>
      <c r="L210" s="26">
        <v>214703</v>
      </c>
      <c r="M210" s="130"/>
    </row>
    <row r="211" spans="1:13" ht="21.75" customHeight="1">
      <c r="A211" s="117"/>
      <c r="B211" s="99"/>
      <c r="C211" s="102"/>
      <c r="D211" s="104"/>
      <c r="E211" s="102"/>
      <c r="F211" s="16" t="s">
        <v>14</v>
      </c>
      <c r="G211" s="26">
        <f>H211+I211+J211+K211+L211</f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130"/>
    </row>
    <row r="212" spans="1:13" ht="21.75" customHeight="1">
      <c r="A212" s="118"/>
      <c r="B212" s="100"/>
      <c r="C212" s="102"/>
      <c r="D212" s="105"/>
      <c r="E212" s="106"/>
      <c r="F212" s="16" t="s">
        <v>15</v>
      </c>
      <c r="G212" s="26">
        <f>H212+I212+J212+K212+L212</f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130"/>
    </row>
    <row r="213" spans="1:13" ht="21.75" customHeight="1">
      <c r="A213" s="116" t="s">
        <v>67</v>
      </c>
      <c r="B213" s="98" t="s">
        <v>109</v>
      </c>
      <c r="C213" s="101" t="s">
        <v>125</v>
      </c>
      <c r="D213" s="101"/>
      <c r="E213" s="101" t="s">
        <v>106</v>
      </c>
      <c r="F213" s="16" t="s">
        <v>12</v>
      </c>
      <c r="G213" s="26">
        <f aca="true" t="shared" si="60" ref="G213:L213">G214+G215+G216</f>
        <v>0</v>
      </c>
      <c r="H213" s="26">
        <f t="shared" si="60"/>
        <v>0</v>
      </c>
      <c r="I213" s="26">
        <f t="shared" si="60"/>
        <v>0</v>
      </c>
      <c r="J213" s="26">
        <f t="shared" si="60"/>
        <v>0</v>
      </c>
      <c r="K213" s="26">
        <f t="shared" si="60"/>
        <v>0</v>
      </c>
      <c r="L213" s="26">
        <f t="shared" si="60"/>
        <v>0</v>
      </c>
      <c r="M213" s="130"/>
    </row>
    <row r="214" spans="1:13" ht="21.75" customHeight="1">
      <c r="A214" s="117"/>
      <c r="B214" s="99"/>
      <c r="C214" s="102"/>
      <c r="D214" s="102"/>
      <c r="E214" s="102"/>
      <c r="F214" s="16" t="s">
        <v>13</v>
      </c>
      <c r="G214" s="26">
        <f>H214+I214+J214+K214+L214</f>
        <v>0</v>
      </c>
      <c r="H214" s="26">
        <v>0</v>
      </c>
      <c r="I214" s="26">
        <v>0</v>
      </c>
      <c r="J214" s="26">
        <v>0</v>
      </c>
      <c r="K214" s="26"/>
      <c r="L214" s="26">
        <v>0</v>
      </c>
      <c r="M214" s="130"/>
    </row>
    <row r="215" spans="1:13" ht="21.75" customHeight="1">
      <c r="A215" s="117"/>
      <c r="B215" s="99"/>
      <c r="C215" s="102"/>
      <c r="D215" s="102"/>
      <c r="E215" s="102"/>
      <c r="F215" s="16" t="s">
        <v>14</v>
      </c>
      <c r="G215" s="26">
        <f>H215+I215+J215+K215+L215</f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130"/>
    </row>
    <row r="216" spans="1:13" ht="21.75" customHeight="1">
      <c r="A216" s="118"/>
      <c r="B216" s="100"/>
      <c r="C216" s="102"/>
      <c r="D216" s="106"/>
      <c r="E216" s="106"/>
      <c r="F216" s="16" t="s">
        <v>15</v>
      </c>
      <c r="G216" s="26">
        <f>H216+I216+J216+K216+L216</f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130"/>
    </row>
    <row r="217" spans="1:13" ht="21.75" customHeight="1">
      <c r="A217" s="61"/>
      <c r="B217" s="98" t="s">
        <v>104</v>
      </c>
      <c r="C217" s="101" t="s">
        <v>125</v>
      </c>
      <c r="D217" s="103" t="s">
        <v>127</v>
      </c>
      <c r="E217" s="101" t="s">
        <v>106</v>
      </c>
      <c r="F217" s="16" t="s">
        <v>12</v>
      </c>
      <c r="G217" s="26">
        <f aca="true" t="shared" si="61" ref="G217:L217">G218+G219+G220</f>
        <v>1351364</v>
      </c>
      <c r="H217" s="26">
        <f t="shared" si="61"/>
        <v>316037</v>
      </c>
      <c r="I217" s="26">
        <f t="shared" si="61"/>
        <v>390000</v>
      </c>
      <c r="J217" s="26">
        <f t="shared" si="61"/>
        <v>215109</v>
      </c>
      <c r="K217" s="26">
        <f t="shared" si="61"/>
        <v>215109</v>
      </c>
      <c r="L217" s="26">
        <f t="shared" si="61"/>
        <v>215109</v>
      </c>
      <c r="M217" s="130"/>
    </row>
    <row r="218" spans="1:13" ht="21.75" customHeight="1">
      <c r="A218" s="63" t="s">
        <v>102</v>
      </c>
      <c r="B218" s="99"/>
      <c r="C218" s="102"/>
      <c r="D218" s="104"/>
      <c r="E218" s="102"/>
      <c r="F218" s="16" t="s">
        <v>13</v>
      </c>
      <c r="G218" s="26">
        <f>H218+I218+J218+K218+L218</f>
        <v>861364</v>
      </c>
      <c r="H218" s="26">
        <v>116037</v>
      </c>
      <c r="I218" s="26">
        <f>157703.92-57703.92</f>
        <v>100000.00000000001</v>
      </c>
      <c r="J218" s="26">
        <v>215109</v>
      </c>
      <c r="K218" s="26">
        <v>215109</v>
      </c>
      <c r="L218" s="26">
        <v>215109</v>
      </c>
      <c r="M218" s="130"/>
    </row>
    <row r="219" spans="1:13" ht="21.75" customHeight="1">
      <c r="A219" s="61"/>
      <c r="B219" s="99"/>
      <c r="C219" s="102"/>
      <c r="D219" s="104"/>
      <c r="E219" s="102"/>
      <c r="F219" s="16" t="s">
        <v>14</v>
      </c>
      <c r="G219" s="26">
        <f>H219+I219+J219+K219+L219</f>
        <v>490000</v>
      </c>
      <c r="H219" s="26">
        <v>200000</v>
      </c>
      <c r="I219" s="26">
        <v>290000</v>
      </c>
      <c r="J219" s="26">
        <v>0</v>
      </c>
      <c r="K219" s="26">
        <v>0</v>
      </c>
      <c r="L219" s="26">
        <v>0</v>
      </c>
      <c r="M219" s="130"/>
    </row>
    <row r="220" spans="1:13" ht="21.75" customHeight="1">
      <c r="A220" s="61"/>
      <c r="B220" s="100"/>
      <c r="C220" s="102"/>
      <c r="D220" s="105"/>
      <c r="E220" s="106"/>
      <c r="F220" s="16" t="s">
        <v>15</v>
      </c>
      <c r="G220" s="26">
        <f>H220+I220+J220+K220+L220</f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130"/>
    </row>
    <row r="221" spans="1:13" ht="21.75" customHeight="1">
      <c r="A221" s="116" t="s">
        <v>103</v>
      </c>
      <c r="B221" s="98" t="s">
        <v>78</v>
      </c>
      <c r="C221" s="101" t="s">
        <v>125</v>
      </c>
      <c r="D221" s="103" t="s">
        <v>141</v>
      </c>
      <c r="E221" s="101" t="s">
        <v>106</v>
      </c>
      <c r="F221" s="16" t="s">
        <v>12</v>
      </c>
      <c r="G221" s="26">
        <f aca="true" t="shared" si="62" ref="G221:L221">G222+G223+G224</f>
        <v>16631198.369999997</v>
      </c>
      <c r="H221" s="26">
        <f t="shared" si="62"/>
        <v>0</v>
      </c>
      <c r="I221" s="26">
        <f t="shared" si="62"/>
        <v>3522960.71</v>
      </c>
      <c r="J221" s="26">
        <f t="shared" si="62"/>
        <v>4369412.56</v>
      </c>
      <c r="K221" s="26">
        <f t="shared" si="62"/>
        <v>4369412.54</v>
      </c>
      <c r="L221" s="26">
        <f t="shared" si="62"/>
        <v>4369412.56</v>
      </c>
      <c r="M221" s="130"/>
    </row>
    <row r="222" spans="1:13" ht="21.75" customHeight="1">
      <c r="A222" s="117"/>
      <c r="B222" s="99"/>
      <c r="C222" s="102"/>
      <c r="D222" s="104"/>
      <c r="E222" s="102"/>
      <c r="F222" s="16" t="s">
        <v>13</v>
      </c>
      <c r="G222" s="26">
        <f>H222+I222+J222+K222+L222</f>
        <v>200000</v>
      </c>
      <c r="H222" s="26">
        <v>0</v>
      </c>
      <c r="I222" s="26">
        <f>200000+572400-572400</f>
        <v>200000</v>
      </c>
      <c r="J222" s="26">
        <v>0</v>
      </c>
      <c r="K222" s="26">
        <v>0</v>
      </c>
      <c r="L222" s="26">
        <v>0</v>
      </c>
      <c r="M222" s="130"/>
    </row>
    <row r="223" spans="1:13" ht="21.75" customHeight="1">
      <c r="A223" s="117"/>
      <c r="B223" s="99"/>
      <c r="C223" s="102"/>
      <c r="D223" s="104"/>
      <c r="E223" s="102"/>
      <c r="F223" s="16" t="s">
        <v>14</v>
      </c>
      <c r="G223" s="26">
        <f>H223+I223+J223+K223+L223</f>
        <v>16431198.369999997</v>
      </c>
      <c r="H223" s="26">
        <v>0</v>
      </c>
      <c r="I223" s="26">
        <f>4922960.71-1600000</f>
        <v>3322960.71</v>
      </c>
      <c r="J223" s="26">
        <v>4369412.56</v>
      </c>
      <c r="K223" s="26">
        <v>4369412.54</v>
      </c>
      <c r="L223" s="26">
        <v>4369412.56</v>
      </c>
      <c r="M223" s="130"/>
    </row>
    <row r="224" spans="1:13" ht="21.75" customHeight="1">
      <c r="A224" s="118"/>
      <c r="B224" s="100"/>
      <c r="C224" s="102"/>
      <c r="D224" s="105"/>
      <c r="E224" s="106"/>
      <c r="F224" s="16" t="s">
        <v>15</v>
      </c>
      <c r="G224" s="26">
        <f>H224+I224+J224+K224+L224</f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130"/>
    </row>
    <row r="225" spans="1:13" ht="21.75" customHeight="1">
      <c r="A225" s="107" t="s">
        <v>68</v>
      </c>
      <c r="B225" s="110" t="s">
        <v>149</v>
      </c>
      <c r="C225" s="113" t="s">
        <v>125</v>
      </c>
      <c r="D225" s="123" t="s">
        <v>126</v>
      </c>
      <c r="E225" s="113" t="s">
        <v>106</v>
      </c>
      <c r="F225" s="39" t="s">
        <v>12</v>
      </c>
      <c r="G225" s="40">
        <f aca="true" t="shared" si="63" ref="G225:L225">G226+G227+G228</f>
        <v>2828000</v>
      </c>
      <c r="H225" s="40">
        <f t="shared" si="63"/>
        <v>600000</v>
      </c>
      <c r="I225" s="40">
        <f t="shared" si="63"/>
        <v>557000</v>
      </c>
      <c r="J225" s="40">
        <f t="shared" si="63"/>
        <v>557000</v>
      </c>
      <c r="K225" s="40">
        <f t="shared" si="63"/>
        <v>557000</v>
      </c>
      <c r="L225" s="40">
        <f t="shared" si="63"/>
        <v>557000</v>
      </c>
      <c r="M225" s="126"/>
    </row>
    <row r="226" spans="1:13" ht="21.75" customHeight="1">
      <c r="A226" s="108"/>
      <c r="B226" s="111"/>
      <c r="C226" s="114"/>
      <c r="D226" s="124"/>
      <c r="E226" s="114"/>
      <c r="F226" s="39" t="s">
        <v>13</v>
      </c>
      <c r="G226" s="40">
        <f>H226+I226+J226+K226+L226</f>
        <v>2828000</v>
      </c>
      <c r="H226" s="40">
        <f>H230+H234+H246+H250+H254+H237+H241</f>
        <v>600000</v>
      </c>
      <c r="I226" s="40">
        <f>I230+I234+I246+I250+I254+I237+I241</f>
        <v>557000</v>
      </c>
      <c r="J226" s="40">
        <f>J230+J234+J246+J250+J254+J237+J241</f>
        <v>557000</v>
      </c>
      <c r="K226" s="40">
        <f>K230+K234+K246+K250+K254+K237+K241</f>
        <v>557000</v>
      </c>
      <c r="L226" s="40">
        <f>L230+L234+L246+L250+L254+L237+L241</f>
        <v>557000</v>
      </c>
      <c r="M226" s="127"/>
    </row>
    <row r="227" spans="1:13" ht="21.75" customHeight="1">
      <c r="A227" s="108"/>
      <c r="B227" s="111"/>
      <c r="C227" s="114"/>
      <c r="D227" s="124"/>
      <c r="E227" s="114"/>
      <c r="F227" s="39" t="s">
        <v>14</v>
      </c>
      <c r="G227" s="40">
        <f>H227+I227+J227+K227+L227</f>
        <v>0</v>
      </c>
      <c r="H227" s="40">
        <f aca="true" t="shared" si="64" ref="H227:L228">H231+H235+H247+H251+H87+H255</f>
        <v>0</v>
      </c>
      <c r="I227" s="40">
        <f t="shared" si="64"/>
        <v>0</v>
      </c>
      <c r="J227" s="40">
        <f t="shared" si="64"/>
        <v>0</v>
      </c>
      <c r="K227" s="40">
        <f t="shared" si="64"/>
        <v>0</v>
      </c>
      <c r="L227" s="40">
        <f t="shared" si="64"/>
        <v>0</v>
      </c>
      <c r="M227" s="127"/>
    </row>
    <row r="228" spans="1:13" ht="21.75" customHeight="1">
      <c r="A228" s="109"/>
      <c r="B228" s="112"/>
      <c r="C228" s="115"/>
      <c r="D228" s="125"/>
      <c r="E228" s="115"/>
      <c r="F228" s="39" t="s">
        <v>15</v>
      </c>
      <c r="G228" s="40">
        <f>H228+I228+J228+K228+L228</f>
        <v>0</v>
      </c>
      <c r="H228" s="40">
        <f t="shared" si="64"/>
        <v>0</v>
      </c>
      <c r="I228" s="40">
        <f t="shared" si="64"/>
        <v>0</v>
      </c>
      <c r="J228" s="40">
        <f t="shared" si="64"/>
        <v>0</v>
      </c>
      <c r="K228" s="40">
        <f t="shared" si="64"/>
        <v>0</v>
      </c>
      <c r="L228" s="40">
        <f t="shared" si="64"/>
        <v>0</v>
      </c>
      <c r="M228" s="128"/>
    </row>
    <row r="229" spans="1:13" ht="21.75" customHeight="1">
      <c r="A229" s="116" t="s">
        <v>69</v>
      </c>
      <c r="B229" s="98" t="s">
        <v>70</v>
      </c>
      <c r="C229" s="101" t="s">
        <v>125</v>
      </c>
      <c r="D229" s="101"/>
      <c r="E229" s="101" t="s">
        <v>106</v>
      </c>
      <c r="F229" s="16" t="s">
        <v>12</v>
      </c>
      <c r="G229" s="26">
        <f aca="true" t="shared" si="65" ref="G229:L229">G230+G231+G232</f>
        <v>0</v>
      </c>
      <c r="H229" s="26">
        <f t="shared" si="65"/>
        <v>0</v>
      </c>
      <c r="I229" s="26">
        <f t="shared" si="65"/>
        <v>0</v>
      </c>
      <c r="J229" s="26">
        <f t="shared" si="65"/>
        <v>0</v>
      </c>
      <c r="K229" s="26">
        <f t="shared" si="65"/>
        <v>0</v>
      </c>
      <c r="L229" s="26">
        <f t="shared" si="65"/>
        <v>0</v>
      </c>
      <c r="M229" s="81" t="s">
        <v>145</v>
      </c>
    </row>
    <row r="230" spans="1:13" ht="21.75" customHeight="1">
      <c r="A230" s="117"/>
      <c r="B230" s="99"/>
      <c r="C230" s="102"/>
      <c r="D230" s="102"/>
      <c r="E230" s="102"/>
      <c r="F230" s="16" t="s">
        <v>13</v>
      </c>
      <c r="G230" s="26">
        <f>H230+I230+J230+K230+L230</f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82"/>
    </row>
    <row r="231" spans="1:13" ht="21.75" customHeight="1">
      <c r="A231" s="117"/>
      <c r="B231" s="99"/>
      <c r="C231" s="102"/>
      <c r="D231" s="102"/>
      <c r="E231" s="102"/>
      <c r="F231" s="16" t="s">
        <v>14</v>
      </c>
      <c r="G231" s="26">
        <f>H231+I231+J231+K231+L231</f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82"/>
    </row>
    <row r="232" spans="1:13" ht="21.75" customHeight="1">
      <c r="A232" s="118"/>
      <c r="B232" s="100"/>
      <c r="C232" s="102"/>
      <c r="D232" s="106"/>
      <c r="E232" s="106"/>
      <c r="F232" s="16" t="s">
        <v>15</v>
      </c>
      <c r="G232" s="26">
        <f>H232+I232+J232+K232+L232</f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82"/>
    </row>
    <row r="233" spans="1:13" ht="21.75" customHeight="1">
      <c r="A233" s="116" t="s">
        <v>71</v>
      </c>
      <c r="B233" s="98" t="s">
        <v>114</v>
      </c>
      <c r="C233" s="101" t="s">
        <v>125</v>
      </c>
      <c r="D233" s="119" t="s">
        <v>124</v>
      </c>
      <c r="E233" s="101" t="s">
        <v>106</v>
      </c>
      <c r="F233" s="16" t="s">
        <v>12</v>
      </c>
      <c r="G233" s="26">
        <f aca="true" t="shared" si="66" ref="G233:L233">G234+G235+G236</f>
        <v>1038749.8</v>
      </c>
      <c r="H233" s="26">
        <f t="shared" si="66"/>
        <v>235000</v>
      </c>
      <c r="I233" s="26">
        <f t="shared" si="66"/>
        <v>197749.8</v>
      </c>
      <c r="J233" s="26">
        <f t="shared" si="66"/>
        <v>202000</v>
      </c>
      <c r="K233" s="26">
        <f t="shared" si="66"/>
        <v>202000</v>
      </c>
      <c r="L233" s="26">
        <f t="shared" si="66"/>
        <v>202000</v>
      </c>
      <c r="M233" s="82"/>
    </row>
    <row r="234" spans="1:13" ht="21.75" customHeight="1">
      <c r="A234" s="117"/>
      <c r="B234" s="99"/>
      <c r="C234" s="102"/>
      <c r="D234" s="120"/>
      <c r="E234" s="102"/>
      <c r="F234" s="16" t="s">
        <v>13</v>
      </c>
      <c r="G234" s="26">
        <f>H234+I234+J234+K234+L234</f>
        <v>1038749.8</v>
      </c>
      <c r="H234" s="26">
        <v>235000</v>
      </c>
      <c r="I234" s="26">
        <f>252000-I246-4250.2</f>
        <v>197749.8</v>
      </c>
      <c r="J234" s="26">
        <v>202000</v>
      </c>
      <c r="K234" s="26">
        <v>202000</v>
      </c>
      <c r="L234" s="26">
        <v>202000</v>
      </c>
      <c r="M234" s="82"/>
    </row>
    <row r="235" spans="1:13" ht="21.75" customHeight="1">
      <c r="A235" s="117"/>
      <c r="B235" s="99"/>
      <c r="C235" s="102"/>
      <c r="D235" s="120"/>
      <c r="E235" s="102"/>
      <c r="F235" s="16" t="s">
        <v>14</v>
      </c>
      <c r="G235" s="26">
        <f>H235+I235+J235+K235+L235</f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82"/>
    </row>
    <row r="236" spans="1:13" ht="21.75" customHeight="1">
      <c r="A236" s="118"/>
      <c r="B236" s="100"/>
      <c r="C236" s="102"/>
      <c r="D236" s="121"/>
      <c r="E236" s="106"/>
      <c r="F236" s="16" t="s">
        <v>15</v>
      </c>
      <c r="G236" s="26">
        <f>H236+I236+J236+K236+L236</f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82"/>
    </row>
    <row r="237" spans="1:13" ht="21.75" customHeight="1">
      <c r="A237" s="101" t="s">
        <v>72</v>
      </c>
      <c r="B237" s="98" t="s">
        <v>115</v>
      </c>
      <c r="C237" s="101" t="s">
        <v>125</v>
      </c>
      <c r="D237" s="119" t="s">
        <v>126</v>
      </c>
      <c r="E237" s="101" t="s">
        <v>106</v>
      </c>
      <c r="F237" s="16" t="s">
        <v>12</v>
      </c>
      <c r="G237" s="26">
        <f aca="true" t="shared" si="67" ref="G237:L237">G238+G239+G240</f>
        <v>549250.2</v>
      </c>
      <c r="H237" s="26">
        <f t="shared" si="67"/>
        <v>125000</v>
      </c>
      <c r="I237" s="26">
        <f t="shared" si="67"/>
        <v>109250.2</v>
      </c>
      <c r="J237" s="26">
        <f t="shared" si="67"/>
        <v>105000</v>
      </c>
      <c r="K237" s="26">
        <f t="shared" si="67"/>
        <v>105000</v>
      </c>
      <c r="L237" s="26">
        <f t="shared" si="67"/>
        <v>105000</v>
      </c>
      <c r="M237" s="82"/>
    </row>
    <row r="238" spans="1:13" ht="21.75" customHeight="1">
      <c r="A238" s="102"/>
      <c r="B238" s="99"/>
      <c r="C238" s="102"/>
      <c r="D238" s="120"/>
      <c r="E238" s="102"/>
      <c r="F238" s="16" t="s">
        <v>13</v>
      </c>
      <c r="G238" s="26">
        <f>H238+I238+J238+K238+L238</f>
        <v>549250.2</v>
      </c>
      <c r="H238" s="26">
        <v>125000</v>
      </c>
      <c r="I238" s="26">
        <f>105000+4250.2</f>
        <v>109250.2</v>
      </c>
      <c r="J238" s="26">
        <v>105000</v>
      </c>
      <c r="K238" s="26">
        <v>105000</v>
      </c>
      <c r="L238" s="26">
        <v>105000</v>
      </c>
      <c r="M238" s="82"/>
    </row>
    <row r="239" spans="1:13" ht="21.75" customHeight="1">
      <c r="A239" s="102"/>
      <c r="B239" s="99"/>
      <c r="C239" s="102"/>
      <c r="D239" s="120"/>
      <c r="E239" s="102"/>
      <c r="F239" s="16" t="s">
        <v>14</v>
      </c>
      <c r="G239" s="26">
        <f>H239+I239+J239+K239+L239</f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82"/>
    </row>
    <row r="240" spans="1:13" ht="21.75" customHeight="1">
      <c r="A240" s="106"/>
      <c r="B240" s="100"/>
      <c r="C240" s="102"/>
      <c r="D240" s="121"/>
      <c r="E240" s="106"/>
      <c r="F240" s="16" t="s">
        <v>15</v>
      </c>
      <c r="G240" s="26">
        <f>H240+I240+J240+K240+L240</f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82"/>
    </row>
    <row r="241" spans="1:13" ht="21.75" customHeight="1">
      <c r="A241" s="101" t="s">
        <v>73</v>
      </c>
      <c r="B241" s="98" t="s">
        <v>111</v>
      </c>
      <c r="C241" s="101" t="s">
        <v>125</v>
      </c>
      <c r="D241" s="119" t="s">
        <v>124</v>
      </c>
      <c r="E241" s="101" t="s">
        <v>106</v>
      </c>
      <c r="F241" s="16" t="s">
        <v>12</v>
      </c>
      <c r="G241" s="26">
        <f aca="true" t="shared" si="68" ref="G241:L241">G242+G243+G244</f>
        <v>1000000</v>
      </c>
      <c r="H241" s="26">
        <f t="shared" si="68"/>
        <v>200000</v>
      </c>
      <c r="I241" s="26">
        <f t="shared" si="68"/>
        <v>200000</v>
      </c>
      <c r="J241" s="26">
        <f t="shared" si="68"/>
        <v>200000</v>
      </c>
      <c r="K241" s="26">
        <f t="shared" si="68"/>
        <v>200000</v>
      </c>
      <c r="L241" s="26">
        <f t="shared" si="68"/>
        <v>200000</v>
      </c>
      <c r="M241" s="82"/>
    </row>
    <row r="242" spans="1:13" ht="21.75" customHeight="1">
      <c r="A242" s="102"/>
      <c r="B242" s="99"/>
      <c r="C242" s="102"/>
      <c r="D242" s="120"/>
      <c r="E242" s="102"/>
      <c r="F242" s="16" t="s">
        <v>13</v>
      </c>
      <c r="G242" s="26">
        <f>H242+I242+J242+K242+L242</f>
        <v>1000000</v>
      </c>
      <c r="H242" s="26">
        <v>200000</v>
      </c>
      <c r="I242" s="26">
        <v>200000</v>
      </c>
      <c r="J242" s="26">
        <v>200000</v>
      </c>
      <c r="K242" s="26">
        <v>200000</v>
      </c>
      <c r="L242" s="26">
        <v>200000</v>
      </c>
      <c r="M242" s="82"/>
    </row>
    <row r="243" spans="1:13" ht="21.75" customHeight="1">
      <c r="A243" s="102"/>
      <c r="B243" s="99"/>
      <c r="C243" s="102"/>
      <c r="D243" s="120"/>
      <c r="E243" s="102"/>
      <c r="F243" s="16" t="s">
        <v>14</v>
      </c>
      <c r="G243" s="26">
        <f>H243+I243+J243+K243+L243</f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82"/>
    </row>
    <row r="244" spans="1:13" ht="21.75" customHeight="1">
      <c r="A244" s="106"/>
      <c r="B244" s="100"/>
      <c r="C244" s="102"/>
      <c r="D244" s="121"/>
      <c r="E244" s="106"/>
      <c r="F244" s="16" t="s">
        <v>15</v>
      </c>
      <c r="G244" s="26">
        <f>H244+I244+J244+K244+L244</f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82"/>
    </row>
    <row r="245" spans="1:13" ht="21.75" customHeight="1">
      <c r="A245" s="116" t="s">
        <v>85</v>
      </c>
      <c r="B245" s="98" t="s">
        <v>89</v>
      </c>
      <c r="C245" s="101" t="s">
        <v>125</v>
      </c>
      <c r="D245" s="119" t="s">
        <v>124</v>
      </c>
      <c r="E245" s="101" t="s">
        <v>106</v>
      </c>
      <c r="F245" s="16" t="s">
        <v>12</v>
      </c>
      <c r="G245" s="26">
        <f aca="true" t="shared" si="69" ref="G245:L245">G246+G247+G248</f>
        <v>240000</v>
      </c>
      <c r="H245" s="26">
        <f t="shared" si="69"/>
        <v>40000</v>
      </c>
      <c r="I245" s="26">
        <f t="shared" si="69"/>
        <v>50000</v>
      </c>
      <c r="J245" s="26">
        <f t="shared" si="69"/>
        <v>50000</v>
      </c>
      <c r="K245" s="26">
        <f t="shared" si="69"/>
        <v>50000</v>
      </c>
      <c r="L245" s="26">
        <f t="shared" si="69"/>
        <v>50000</v>
      </c>
      <c r="M245" s="82"/>
    </row>
    <row r="246" spans="1:13" ht="21.75" customHeight="1">
      <c r="A246" s="117"/>
      <c r="B246" s="99"/>
      <c r="C246" s="102"/>
      <c r="D246" s="120"/>
      <c r="E246" s="102"/>
      <c r="F246" s="16" t="s">
        <v>13</v>
      </c>
      <c r="G246" s="26">
        <f>H246+I246+J246+K246+L246</f>
        <v>240000</v>
      </c>
      <c r="H246" s="26">
        <v>40000</v>
      </c>
      <c r="I246" s="26">
        <v>50000</v>
      </c>
      <c r="J246" s="26">
        <v>50000</v>
      </c>
      <c r="K246" s="26">
        <v>50000</v>
      </c>
      <c r="L246" s="26">
        <v>50000</v>
      </c>
      <c r="M246" s="82"/>
    </row>
    <row r="247" spans="1:13" ht="21.75" customHeight="1">
      <c r="A247" s="117"/>
      <c r="B247" s="99"/>
      <c r="C247" s="102"/>
      <c r="D247" s="120"/>
      <c r="E247" s="102"/>
      <c r="F247" s="16" t="s">
        <v>14</v>
      </c>
      <c r="G247" s="26">
        <f>H247+I247+J247+K247+L247</f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82"/>
    </row>
    <row r="248" spans="1:13" ht="21.75" customHeight="1">
      <c r="A248" s="118"/>
      <c r="B248" s="100"/>
      <c r="C248" s="102"/>
      <c r="D248" s="121"/>
      <c r="E248" s="106"/>
      <c r="F248" s="16" t="s">
        <v>15</v>
      </c>
      <c r="G248" s="26">
        <f>H248+I248+J248+K248+L248</f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82"/>
    </row>
    <row r="249" spans="1:13" ht="21.75" customHeight="1">
      <c r="A249" s="116" t="s">
        <v>112</v>
      </c>
      <c r="B249" s="98" t="s">
        <v>91</v>
      </c>
      <c r="C249" s="101" t="s">
        <v>125</v>
      </c>
      <c r="D249" s="101"/>
      <c r="E249" s="101" t="s">
        <v>106</v>
      </c>
      <c r="F249" s="16" t="s">
        <v>12</v>
      </c>
      <c r="G249" s="26">
        <f aca="true" t="shared" si="70" ref="G249:L249">G250+G251+G252</f>
        <v>0</v>
      </c>
      <c r="H249" s="26">
        <f t="shared" si="70"/>
        <v>0</v>
      </c>
      <c r="I249" s="26">
        <f t="shared" si="70"/>
        <v>0</v>
      </c>
      <c r="J249" s="26">
        <f t="shared" si="70"/>
        <v>0</v>
      </c>
      <c r="K249" s="26">
        <f t="shared" si="70"/>
        <v>0</v>
      </c>
      <c r="L249" s="26">
        <f t="shared" si="70"/>
        <v>0</v>
      </c>
      <c r="M249" s="82"/>
    </row>
    <row r="250" spans="1:13" ht="21.75" customHeight="1">
      <c r="A250" s="117"/>
      <c r="B250" s="99"/>
      <c r="C250" s="102"/>
      <c r="D250" s="102"/>
      <c r="E250" s="102"/>
      <c r="F250" s="16" t="s">
        <v>13</v>
      </c>
      <c r="G250" s="26">
        <f>H250+I250+J250+K250+L250</f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82"/>
    </row>
    <row r="251" spans="1:13" ht="21.75" customHeight="1">
      <c r="A251" s="117"/>
      <c r="B251" s="99"/>
      <c r="C251" s="102"/>
      <c r="D251" s="102"/>
      <c r="E251" s="102"/>
      <c r="F251" s="16" t="s">
        <v>14</v>
      </c>
      <c r="G251" s="26">
        <f>H251+I251+J251+K251+L251</f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82"/>
    </row>
    <row r="252" spans="1:13" ht="21.75" customHeight="1">
      <c r="A252" s="118"/>
      <c r="B252" s="100"/>
      <c r="C252" s="102"/>
      <c r="D252" s="106"/>
      <c r="E252" s="106"/>
      <c r="F252" s="16" t="s">
        <v>15</v>
      </c>
      <c r="G252" s="26">
        <f>H252+I252+J252+K252+L252</f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82"/>
    </row>
    <row r="253" spans="1:13" ht="21.75" customHeight="1">
      <c r="A253" s="61"/>
      <c r="B253" s="98" t="s">
        <v>105</v>
      </c>
      <c r="C253" s="101" t="s">
        <v>125</v>
      </c>
      <c r="D253" s="101"/>
      <c r="E253" s="101" t="s">
        <v>106</v>
      </c>
      <c r="F253" s="16" t="s">
        <v>12</v>
      </c>
      <c r="G253" s="26">
        <f aca="true" t="shared" si="71" ref="G253:L253">G254+G255+G256</f>
        <v>0</v>
      </c>
      <c r="H253" s="26">
        <f t="shared" si="71"/>
        <v>0</v>
      </c>
      <c r="I253" s="26">
        <f t="shared" si="71"/>
        <v>0</v>
      </c>
      <c r="J253" s="26">
        <f t="shared" si="71"/>
        <v>0</v>
      </c>
      <c r="K253" s="26">
        <f t="shared" si="71"/>
        <v>0</v>
      </c>
      <c r="L253" s="26">
        <f t="shared" si="71"/>
        <v>0</v>
      </c>
      <c r="M253" s="82"/>
    </row>
    <row r="254" spans="1:13" ht="21.75" customHeight="1">
      <c r="A254" s="61" t="s">
        <v>113</v>
      </c>
      <c r="B254" s="99"/>
      <c r="C254" s="102"/>
      <c r="D254" s="102"/>
      <c r="E254" s="102"/>
      <c r="F254" s="16" t="s">
        <v>13</v>
      </c>
      <c r="G254" s="27">
        <f>H254+I254+J254+K254+L254</f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82"/>
    </row>
    <row r="255" spans="1:13" ht="21.75" customHeight="1">
      <c r="A255" s="61"/>
      <c r="B255" s="99"/>
      <c r="C255" s="102"/>
      <c r="D255" s="102"/>
      <c r="E255" s="102"/>
      <c r="F255" s="16" t="s">
        <v>14</v>
      </c>
      <c r="G255" s="27">
        <f>H255+I255+J255+K255+L255</f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82"/>
    </row>
    <row r="256" spans="1:13" ht="21.75" customHeight="1">
      <c r="A256" s="61"/>
      <c r="B256" s="100"/>
      <c r="C256" s="102"/>
      <c r="D256" s="106"/>
      <c r="E256" s="106"/>
      <c r="F256" s="16" t="s">
        <v>15</v>
      </c>
      <c r="G256" s="27">
        <f>H256+I256+J256+K256+L256</f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122"/>
    </row>
    <row r="257" spans="1:13" ht="21.75" customHeight="1">
      <c r="A257" s="107">
        <v>5</v>
      </c>
      <c r="B257" s="110" t="s">
        <v>152</v>
      </c>
      <c r="C257" s="113" t="s">
        <v>125</v>
      </c>
      <c r="D257" s="45"/>
      <c r="E257" s="113" t="s">
        <v>106</v>
      </c>
      <c r="F257" s="39" t="s">
        <v>12</v>
      </c>
      <c r="G257" s="40">
        <f aca="true" t="shared" si="72" ref="G257:L257">G258+G259+G260</f>
        <v>70324169.16</v>
      </c>
      <c r="H257" s="40">
        <f t="shared" si="72"/>
        <v>13370422.13</v>
      </c>
      <c r="I257" s="40">
        <f t="shared" si="72"/>
        <v>13699325.03</v>
      </c>
      <c r="J257" s="40">
        <f t="shared" si="72"/>
        <v>14329616</v>
      </c>
      <c r="K257" s="40">
        <f t="shared" si="72"/>
        <v>14394426</v>
      </c>
      <c r="L257" s="40">
        <f t="shared" si="72"/>
        <v>14530380</v>
      </c>
      <c r="M257" s="62"/>
    </row>
    <row r="258" spans="1:13" ht="21.75" customHeight="1">
      <c r="A258" s="108"/>
      <c r="B258" s="111"/>
      <c r="C258" s="114"/>
      <c r="D258" s="46"/>
      <c r="E258" s="114"/>
      <c r="F258" s="39" t="s">
        <v>13</v>
      </c>
      <c r="G258" s="40">
        <f>H258+I258+J258+K258+L258</f>
        <v>70094165.16</v>
      </c>
      <c r="H258" s="40">
        <f aca="true" t="shared" si="73" ref="H258:L260">H262</f>
        <v>13370422.13</v>
      </c>
      <c r="I258" s="40">
        <f t="shared" si="73"/>
        <v>13699325.03</v>
      </c>
      <c r="J258" s="40">
        <f t="shared" si="73"/>
        <v>14206416</v>
      </c>
      <c r="K258" s="40">
        <f t="shared" si="73"/>
        <v>14341024</v>
      </c>
      <c r="L258" s="40">
        <f t="shared" si="73"/>
        <v>14476978</v>
      </c>
      <c r="M258" s="62"/>
    </row>
    <row r="259" spans="1:13" ht="21.75" customHeight="1">
      <c r="A259" s="108"/>
      <c r="B259" s="111"/>
      <c r="C259" s="114"/>
      <c r="D259" s="46"/>
      <c r="E259" s="114"/>
      <c r="F259" s="39" t="s">
        <v>14</v>
      </c>
      <c r="G259" s="40">
        <f>H259+I259+J259+K259+L259</f>
        <v>230004</v>
      </c>
      <c r="H259" s="40">
        <f t="shared" si="73"/>
        <v>0</v>
      </c>
      <c r="I259" s="40">
        <f t="shared" si="73"/>
        <v>0</v>
      </c>
      <c r="J259" s="40">
        <f t="shared" si="73"/>
        <v>123200</v>
      </c>
      <c r="K259" s="40">
        <f t="shared" si="73"/>
        <v>53402</v>
      </c>
      <c r="L259" s="40">
        <f t="shared" si="73"/>
        <v>53402</v>
      </c>
      <c r="M259" s="62"/>
    </row>
    <row r="260" spans="1:13" ht="21.75" customHeight="1">
      <c r="A260" s="109"/>
      <c r="B260" s="112"/>
      <c r="C260" s="115"/>
      <c r="D260" s="47"/>
      <c r="E260" s="115"/>
      <c r="F260" s="39" t="s">
        <v>15</v>
      </c>
      <c r="G260" s="40">
        <f>H260+I260+J260+K260+L260</f>
        <v>0</v>
      </c>
      <c r="H260" s="40">
        <f t="shared" si="73"/>
        <v>0</v>
      </c>
      <c r="I260" s="40">
        <f t="shared" si="73"/>
        <v>0</v>
      </c>
      <c r="J260" s="40">
        <f t="shared" si="73"/>
        <v>0</v>
      </c>
      <c r="K260" s="40">
        <f t="shared" si="73"/>
        <v>0</v>
      </c>
      <c r="L260" s="40">
        <f t="shared" si="73"/>
        <v>0</v>
      </c>
      <c r="M260" s="62"/>
    </row>
    <row r="261" spans="1:13" ht="21.75" customHeight="1">
      <c r="A261" s="116" t="s">
        <v>74</v>
      </c>
      <c r="B261" s="98" t="s">
        <v>79</v>
      </c>
      <c r="C261" s="101" t="s">
        <v>125</v>
      </c>
      <c r="D261" s="101" t="s">
        <v>143</v>
      </c>
      <c r="E261" s="101" t="s">
        <v>106</v>
      </c>
      <c r="F261" s="16" t="s">
        <v>12</v>
      </c>
      <c r="G261" s="26">
        <f aca="true" t="shared" si="74" ref="G261:L261">G262+G263+G264</f>
        <v>70324169.16</v>
      </c>
      <c r="H261" s="26">
        <f t="shared" si="74"/>
        <v>13370422.13</v>
      </c>
      <c r="I261" s="26">
        <f t="shared" si="74"/>
        <v>13699325.03</v>
      </c>
      <c r="J261" s="26">
        <f t="shared" si="74"/>
        <v>14329616</v>
      </c>
      <c r="K261" s="26">
        <f t="shared" si="74"/>
        <v>14394426</v>
      </c>
      <c r="L261" s="26">
        <f t="shared" si="74"/>
        <v>14530380</v>
      </c>
      <c r="M261" s="81" t="s">
        <v>80</v>
      </c>
    </row>
    <row r="262" spans="1:13" ht="21.75" customHeight="1">
      <c r="A262" s="117"/>
      <c r="B262" s="99"/>
      <c r="C262" s="102"/>
      <c r="D262" s="102"/>
      <c r="E262" s="102"/>
      <c r="F262" s="16" t="s">
        <v>13</v>
      </c>
      <c r="G262" s="26">
        <f>H262+I262+J262+K262+L262</f>
        <v>70094165.16</v>
      </c>
      <c r="H262" s="26">
        <f>13390422.13-20000</f>
        <v>13370422.13</v>
      </c>
      <c r="I262" s="26">
        <v>13699325.03</v>
      </c>
      <c r="J262" s="26">
        <f>14153616+176000-123200</f>
        <v>14206416</v>
      </c>
      <c r="K262" s="26">
        <f>14288224+106202-53402</f>
        <v>14341024</v>
      </c>
      <c r="L262" s="26">
        <f>14424178+106202-53402</f>
        <v>14476978</v>
      </c>
      <c r="M262" s="82"/>
    </row>
    <row r="263" spans="1:13" ht="21.75" customHeight="1">
      <c r="A263" s="117"/>
      <c r="B263" s="99"/>
      <c r="C263" s="102"/>
      <c r="D263" s="102"/>
      <c r="E263" s="102"/>
      <c r="F263" s="16" t="s">
        <v>14</v>
      </c>
      <c r="G263" s="26">
        <f>H263+I263+J263+K263+L263</f>
        <v>230004</v>
      </c>
      <c r="H263" s="26">
        <v>0</v>
      </c>
      <c r="I263" s="26">
        <v>0</v>
      </c>
      <c r="J263" s="26">
        <v>123200</v>
      </c>
      <c r="K263" s="26">
        <v>53402</v>
      </c>
      <c r="L263" s="26">
        <v>53402</v>
      </c>
      <c r="M263" s="82"/>
    </row>
    <row r="264" spans="1:13" ht="21.75" customHeight="1">
      <c r="A264" s="118"/>
      <c r="B264" s="100"/>
      <c r="C264" s="106"/>
      <c r="D264" s="106"/>
      <c r="E264" s="106"/>
      <c r="F264" s="16" t="s">
        <v>15</v>
      </c>
      <c r="G264" s="26">
        <f>H264+I264+J264+K264+L264</f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82"/>
    </row>
    <row r="265" spans="1:13" ht="21.75" customHeight="1">
      <c r="A265" s="83" t="s">
        <v>75</v>
      </c>
      <c r="B265" s="86" t="s">
        <v>76</v>
      </c>
      <c r="C265" s="87"/>
      <c r="D265" s="87"/>
      <c r="E265" s="88"/>
      <c r="F265" s="55" t="s">
        <v>12</v>
      </c>
      <c r="G265" s="56">
        <f aca="true" t="shared" si="75" ref="G265:L265">G266+G267+G268</f>
        <v>5131765594.45</v>
      </c>
      <c r="H265" s="56">
        <f t="shared" si="75"/>
        <v>952111245</v>
      </c>
      <c r="I265" s="56">
        <f t="shared" si="75"/>
        <v>1061957868.3599999</v>
      </c>
      <c r="J265" s="56">
        <f t="shared" si="75"/>
        <v>1016846962.04</v>
      </c>
      <c r="K265" s="56">
        <f t="shared" si="75"/>
        <v>1044403656.97</v>
      </c>
      <c r="L265" s="56">
        <f t="shared" si="75"/>
        <v>1056445862.0799999</v>
      </c>
      <c r="M265" s="62"/>
    </row>
    <row r="266" spans="1:13" ht="21.75" customHeight="1">
      <c r="A266" s="84"/>
      <c r="B266" s="89"/>
      <c r="C266" s="90"/>
      <c r="D266" s="90"/>
      <c r="E266" s="91"/>
      <c r="F266" s="55" t="s">
        <v>13</v>
      </c>
      <c r="G266" s="56">
        <f>H266+I266+J266+K266+L266</f>
        <v>1383628545.1399999</v>
      </c>
      <c r="H266" s="56">
        <f>H258+H226+H202+H166+H10</f>
        <v>257261460.35</v>
      </c>
      <c r="I266" s="56">
        <f>I258+I226+I202+I166+I10</f>
        <v>274006749.57</v>
      </c>
      <c r="J266" s="56">
        <f>J258+J226+J202+J166+J10</f>
        <v>291750602.13</v>
      </c>
      <c r="K266" s="56">
        <f>K258+K226+K202+K166+K10</f>
        <v>281447941.77000004</v>
      </c>
      <c r="L266" s="56">
        <f>L258+L226+L202+L166+L10</f>
        <v>279161791.32</v>
      </c>
      <c r="M266" s="62"/>
    </row>
    <row r="267" spans="1:13" ht="21.75" customHeight="1">
      <c r="A267" s="84"/>
      <c r="B267" s="89"/>
      <c r="C267" s="90"/>
      <c r="D267" s="90"/>
      <c r="E267" s="91"/>
      <c r="F267" s="55" t="s">
        <v>14</v>
      </c>
      <c r="G267" s="56">
        <f>H267+I267+J267+K267+L267</f>
        <v>3522243289.11</v>
      </c>
      <c r="H267" s="56">
        <f>H259+H203+H167+H11+H227</f>
        <v>674427650.65</v>
      </c>
      <c r="I267" s="56">
        <f>I259+I203+I167+I11+I227</f>
        <v>721973504.3299999</v>
      </c>
      <c r="J267" s="56">
        <f>J259+J203+J167+J11+J227</f>
        <v>678938130.4399999</v>
      </c>
      <c r="K267" s="56">
        <f>K259+K203+K167+K11+K227</f>
        <v>716908516.15</v>
      </c>
      <c r="L267" s="56">
        <f>L259+L203+L167+L11+L227</f>
        <v>729995487.54</v>
      </c>
      <c r="M267" s="62"/>
    </row>
    <row r="268" spans="1:13" ht="21.75" customHeight="1">
      <c r="A268" s="85"/>
      <c r="B268" s="92"/>
      <c r="C268" s="93"/>
      <c r="D268" s="93"/>
      <c r="E268" s="94"/>
      <c r="F268" s="55" t="s">
        <v>15</v>
      </c>
      <c r="G268" s="56">
        <f>H268+I268+J268+K268+L268</f>
        <v>225893760.2</v>
      </c>
      <c r="H268" s="56">
        <f>H260+H204+H168+H12</f>
        <v>20422134</v>
      </c>
      <c r="I268" s="56">
        <f>I260+I204+I168+I12</f>
        <v>65977614.45999999</v>
      </c>
      <c r="J268" s="56">
        <f>J260+J204+J168+J12</f>
        <v>46158229.47</v>
      </c>
      <c r="K268" s="56">
        <f>K260+K204+K168+K12</f>
        <v>46047199.05</v>
      </c>
      <c r="L268" s="56">
        <f>L260+L204+L168+L12</f>
        <v>47288583.22</v>
      </c>
      <c r="M268" s="62"/>
    </row>
    <row r="269" spans="7:13" ht="16.5" hidden="1" outlineLevel="1">
      <c r="G269" s="53" t="s">
        <v>176</v>
      </c>
      <c r="I269" s="52" t="e">
        <f>I265-#REF!</f>
        <v>#REF!</v>
      </c>
      <c r="J269" s="48">
        <v>4581200</v>
      </c>
      <c r="K269" s="49">
        <v>44315</v>
      </c>
      <c r="L269" s="50" t="s">
        <v>173</v>
      </c>
      <c r="M269" s="51"/>
    </row>
    <row r="270" spans="10:13" ht="16.5" hidden="1" outlineLevel="1">
      <c r="J270" s="48">
        <v>15130586.16</v>
      </c>
      <c r="K270" s="49">
        <v>44316</v>
      </c>
      <c r="L270" s="50" t="s">
        <v>174</v>
      </c>
      <c r="M270" s="51"/>
    </row>
    <row r="271" spans="10:13" ht="16.5" hidden="1" outlineLevel="1">
      <c r="J271" s="48">
        <f>602506.08+901734-110000</f>
        <v>1394240.08</v>
      </c>
      <c r="K271" s="49">
        <v>44321</v>
      </c>
      <c r="L271" s="50" t="s">
        <v>175</v>
      </c>
      <c r="M271" s="51"/>
    </row>
    <row r="272" spans="9:12" ht="16.5" collapsed="1">
      <c r="I272" s="48">
        <f>'[4]остатки средств в ФК_9'!$R$101-1600000</f>
        <v>1061957868.36</v>
      </c>
      <c r="J272" s="48">
        <f>'[3]прил 6'!G914-'[3]прил 6'!G867-'[3]прил 6'!G835-'[3]прил 6'!G780-'[3]прил 6'!G418+1980000</f>
        <v>1016846962.04</v>
      </c>
      <c r="K272" s="48">
        <f>'[3]прил 6'!H914-'[3]прил 6'!H867-'[3]прил 6'!H835-'[3]прил 6'!H780-'[3]прил 6'!H418+2080000</f>
        <v>1044403656.9699999</v>
      </c>
      <c r="L272" s="48">
        <f>'[3]прил 6'!I914-'[3]прил 6'!I867-'[3]прил 6'!I835-'[3]прил 6'!I780-'[3]прил 6'!I418+2080000</f>
        <v>1056445862.0799999</v>
      </c>
    </row>
    <row r="273" spans="9:12" ht="16.5">
      <c r="I273" s="48">
        <f>I265-I272</f>
        <v>0</v>
      </c>
      <c r="J273" s="48">
        <f>J265-J272</f>
        <v>0</v>
      </c>
      <c r="K273" s="48">
        <f>K265-K272</f>
        <v>0</v>
      </c>
      <c r="L273" s="48">
        <f>L265-L272</f>
        <v>0</v>
      </c>
    </row>
    <row r="274" spans="10:12" ht="16.5">
      <c r="J274" s="34"/>
      <c r="L274" s="34"/>
    </row>
    <row r="275" spans="1:41" s="21" customFormat="1" ht="16.5">
      <c r="A275" s="2"/>
      <c r="B275" s="18"/>
      <c r="C275" s="17"/>
      <c r="D275" s="2"/>
      <c r="E275" s="2"/>
      <c r="F275" s="2"/>
      <c r="I275" s="34"/>
      <c r="M275" s="3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</sheetData>
  <sheetProtection/>
  <mergeCells count="348">
    <mergeCell ref="M261:M264"/>
    <mergeCell ref="A265:A268"/>
    <mergeCell ref="B265:E268"/>
    <mergeCell ref="A257:A260"/>
    <mergeCell ref="B257:B260"/>
    <mergeCell ref="C257:C260"/>
    <mergeCell ref="E257:E260"/>
    <mergeCell ref="A261:A264"/>
    <mergeCell ref="B261:B264"/>
    <mergeCell ref="C261:C264"/>
    <mergeCell ref="D261:D264"/>
    <mergeCell ref="E261:E264"/>
    <mergeCell ref="A249:A252"/>
    <mergeCell ref="B249:B252"/>
    <mergeCell ref="C249:C252"/>
    <mergeCell ref="D249:D252"/>
    <mergeCell ref="E249:E252"/>
    <mergeCell ref="B253:B256"/>
    <mergeCell ref="C253:C256"/>
    <mergeCell ref="D253:D256"/>
    <mergeCell ref="E253:E256"/>
    <mergeCell ref="A241:A244"/>
    <mergeCell ref="B241:B244"/>
    <mergeCell ref="C241:C244"/>
    <mergeCell ref="D241:D244"/>
    <mergeCell ref="E241:E244"/>
    <mergeCell ref="A245:A248"/>
    <mergeCell ref="B245:B248"/>
    <mergeCell ref="C245:C248"/>
    <mergeCell ref="D245:D248"/>
    <mergeCell ref="E245:E248"/>
    <mergeCell ref="E233:E236"/>
    <mergeCell ref="A237:A240"/>
    <mergeCell ref="B237:B240"/>
    <mergeCell ref="C237:C240"/>
    <mergeCell ref="D237:D240"/>
    <mergeCell ref="E237:E240"/>
    <mergeCell ref="A229:A232"/>
    <mergeCell ref="B229:B232"/>
    <mergeCell ref="C229:C232"/>
    <mergeCell ref="D229:D232"/>
    <mergeCell ref="E229:E232"/>
    <mergeCell ref="M229:M256"/>
    <mergeCell ref="A233:A236"/>
    <mergeCell ref="B233:B236"/>
    <mergeCell ref="C233:C236"/>
    <mergeCell ref="D233:D236"/>
    <mergeCell ref="A225:A228"/>
    <mergeCell ref="B225:B228"/>
    <mergeCell ref="C225:C228"/>
    <mergeCell ref="D225:D228"/>
    <mergeCell ref="E225:E228"/>
    <mergeCell ref="M225:M228"/>
    <mergeCell ref="B217:B220"/>
    <mergeCell ref="C217:C220"/>
    <mergeCell ref="D217:D220"/>
    <mergeCell ref="E217:E220"/>
    <mergeCell ref="A221:A224"/>
    <mergeCell ref="B221:B224"/>
    <mergeCell ref="C221:C224"/>
    <mergeCell ref="D221:D224"/>
    <mergeCell ref="E221:E224"/>
    <mergeCell ref="D209:D212"/>
    <mergeCell ref="E209:E212"/>
    <mergeCell ref="A213:A216"/>
    <mergeCell ref="B213:B216"/>
    <mergeCell ref="C213:C216"/>
    <mergeCell ref="D213:D216"/>
    <mergeCell ref="E213:E216"/>
    <mergeCell ref="M201:M204"/>
    <mergeCell ref="A205:A208"/>
    <mergeCell ref="B205:B208"/>
    <mergeCell ref="C205:C208"/>
    <mergeCell ref="D205:D208"/>
    <mergeCell ref="E205:E208"/>
    <mergeCell ref="M205:M224"/>
    <mergeCell ref="A209:A212"/>
    <mergeCell ref="B209:B212"/>
    <mergeCell ref="C209:C212"/>
    <mergeCell ref="A197:A200"/>
    <mergeCell ref="B197:B200"/>
    <mergeCell ref="C197:C200"/>
    <mergeCell ref="D197:D200"/>
    <mergeCell ref="E197:E200"/>
    <mergeCell ref="A201:A204"/>
    <mergeCell ref="B201:B204"/>
    <mergeCell ref="C201:C204"/>
    <mergeCell ref="D201:D204"/>
    <mergeCell ref="E201:E204"/>
    <mergeCell ref="B189:B192"/>
    <mergeCell ref="C189:C192"/>
    <mergeCell ref="D189:D192"/>
    <mergeCell ref="E189:E192"/>
    <mergeCell ref="A193:A196"/>
    <mergeCell ref="B193:B196"/>
    <mergeCell ref="C193:C196"/>
    <mergeCell ref="D193:D196"/>
    <mergeCell ref="E193:E196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D173:D176"/>
    <mergeCell ref="E173:E176"/>
    <mergeCell ref="A177:A180"/>
    <mergeCell ref="B177:B180"/>
    <mergeCell ref="C177:C180"/>
    <mergeCell ref="D177:D180"/>
    <mergeCell ref="E177:E180"/>
    <mergeCell ref="Y168:Y180"/>
    <mergeCell ref="A169:A172"/>
    <mergeCell ref="B169:B172"/>
    <mergeCell ref="C169:C172"/>
    <mergeCell ref="D169:D172"/>
    <mergeCell ref="E169:E172"/>
    <mergeCell ref="M169:M200"/>
    <mergeCell ref="A173:A176"/>
    <mergeCell ref="B173:B176"/>
    <mergeCell ref="C173:C176"/>
    <mergeCell ref="A165:A168"/>
    <mergeCell ref="B165:B168"/>
    <mergeCell ref="C165:C168"/>
    <mergeCell ref="D165:D168"/>
    <mergeCell ref="E165:E168"/>
    <mergeCell ref="M165:M168"/>
    <mergeCell ref="A161:A164"/>
    <mergeCell ref="B161:B164"/>
    <mergeCell ref="C161:C164"/>
    <mergeCell ref="D161:D164"/>
    <mergeCell ref="E161:E164"/>
    <mergeCell ref="M161:M164"/>
    <mergeCell ref="M153:M156"/>
    <mergeCell ref="A157:A160"/>
    <mergeCell ref="B157:B160"/>
    <mergeCell ref="C157:C160"/>
    <mergeCell ref="D157:D160"/>
    <mergeCell ref="E157:E160"/>
    <mergeCell ref="M157:M160"/>
    <mergeCell ref="B149:B152"/>
    <mergeCell ref="C149:C152"/>
    <mergeCell ref="D149:D152"/>
    <mergeCell ref="E149:E152"/>
    <mergeCell ref="M149:M152"/>
    <mergeCell ref="A153:A156"/>
    <mergeCell ref="B153:B156"/>
    <mergeCell ref="C153:C156"/>
    <mergeCell ref="D153:D156"/>
    <mergeCell ref="E153:E156"/>
    <mergeCell ref="A145:A148"/>
    <mergeCell ref="B145:B148"/>
    <mergeCell ref="C145:C148"/>
    <mergeCell ref="D145:D148"/>
    <mergeCell ref="E145:E148"/>
    <mergeCell ref="M145:M148"/>
    <mergeCell ref="A141:A144"/>
    <mergeCell ref="B141:B144"/>
    <mergeCell ref="C141:C144"/>
    <mergeCell ref="D141:D144"/>
    <mergeCell ref="E141:E144"/>
    <mergeCell ref="M141:M144"/>
    <mergeCell ref="A137:A140"/>
    <mergeCell ref="B137:B140"/>
    <mergeCell ref="C137:C140"/>
    <mergeCell ref="D137:D140"/>
    <mergeCell ref="E137:E140"/>
    <mergeCell ref="M137:M140"/>
    <mergeCell ref="Y129:Y132"/>
    <mergeCell ref="A133:A136"/>
    <mergeCell ref="B133:B136"/>
    <mergeCell ref="C133:C136"/>
    <mergeCell ref="D133:D136"/>
    <mergeCell ref="E133:E136"/>
    <mergeCell ref="D125:D128"/>
    <mergeCell ref="E125:E128"/>
    <mergeCell ref="A129:A132"/>
    <mergeCell ref="B129:B132"/>
    <mergeCell ref="C129:C132"/>
    <mergeCell ref="D129:D132"/>
    <mergeCell ref="E129:E132"/>
    <mergeCell ref="M117:M120"/>
    <mergeCell ref="A121:A124"/>
    <mergeCell ref="B121:B124"/>
    <mergeCell ref="C121:C124"/>
    <mergeCell ref="D121:D124"/>
    <mergeCell ref="E121:E124"/>
    <mergeCell ref="M121:M136"/>
    <mergeCell ref="A125:A128"/>
    <mergeCell ref="B125:B128"/>
    <mergeCell ref="C125:C128"/>
    <mergeCell ref="A113:A116"/>
    <mergeCell ref="B113:B116"/>
    <mergeCell ref="C113:C116"/>
    <mergeCell ref="D113:D116"/>
    <mergeCell ref="E113:E116"/>
    <mergeCell ref="A117:A120"/>
    <mergeCell ref="B117:B120"/>
    <mergeCell ref="C117:C120"/>
    <mergeCell ref="D117:D120"/>
    <mergeCell ref="E117:E120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E97:E100"/>
    <mergeCell ref="A101:A104"/>
    <mergeCell ref="B101:B104"/>
    <mergeCell ref="C101:C104"/>
    <mergeCell ref="D101:D104"/>
    <mergeCell ref="E101:E104"/>
    <mergeCell ref="A93:A96"/>
    <mergeCell ref="B93:B96"/>
    <mergeCell ref="C93:C96"/>
    <mergeCell ref="D93:D96"/>
    <mergeCell ref="E93:E96"/>
    <mergeCell ref="M93:M116"/>
    <mergeCell ref="A97:A100"/>
    <mergeCell ref="B97:B100"/>
    <mergeCell ref="C97:C100"/>
    <mergeCell ref="D97:D100"/>
    <mergeCell ref="M81:M92"/>
    <mergeCell ref="B85:B88"/>
    <mergeCell ref="C85:C88"/>
    <mergeCell ref="D85:D88"/>
    <mergeCell ref="E85:E88"/>
    <mergeCell ref="A89:A92"/>
    <mergeCell ref="B89:B92"/>
    <mergeCell ref="C89:C92"/>
    <mergeCell ref="D89:D92"/>
    <mergeCell ref="E89:E92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A69:A72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M33:M80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44" r:id="rId3"/>
  <rowBreaks count="4" manualBreakCount="4">
    <brk id="56" max="12" man="1"/>
    <brk id="116" max="12" man="1"/>
    <brk id="180" max="12" man="1"/>
    <brk id="236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6"/>
  <sheetViews>
    <sheetView view="pageBreakPreview" zoomScale="80" zoomScaleSheetLayoutView="80" zoomScalePageLayoutView="0" workbookViewId="0" topLeftCell="A1">
      <pane xSplit="7" ySplit="8" topLeftCell="H28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306" sqref="J306:K306"/>
    </sheetView>
  </sheetViews>
  <sheetFormatPr defaultColWidth="9.140625" defaultRowHeight="12.75" outlineLevelRow="1"/>
  <cols>
    <col min="1" max="1" width="9.8515625" style="2" customWidth="1"/>
    <col min="2" max="2" width="52.421875" style="18" customWidth="1"/>
    <col min="3" max="3" width="14.28125" style="17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1" customWidth="1"/>
    <col min="13" max="13" width="65.7109375" style="31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76" t="s">
        <v>0</v>
      </c>
      <c r="L1" s="176"/>
      <c r="M1" s="176"/>
      <c r="N1" s="3"/>
      <c r="O1" s="3"/>
      <c r="P1" s="3"/>
    </row>
    <row r="2" spans="1:14" ht="16.5">
      <c r="A2" s="1"/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22"/>
      <c r="M2" s="28" t="s">
        <v>202</v>
      </c>
      <c r="N2" s="3"/>
    </row>
    <row r="3" spans="1:13" ht="16.5">
      <c r="A3" s="1"/>
      <c r="B3" s="177" t="s">
        <v>2</v>
      </c>
      <c r="C3" s="177"/>
      <c r="D3" s="177"/>
      <c r="E3" s="177"/>
      <c r="F3" s="177"/>
      <c r="G3" s="177"/>
      <c r="H3" s="177"/>
      <c r="I3" s="177"/>
      <c r="J3" s="177"/>
      <c r="K3" s="177"/>
      <c r="L3" s="23"/>
      <c r="M3" s="28" t="s">
        <v>118</v>
      </c>
    </row>
    <row r="4" spans="1:13" ht="15.75" customHeight="1">
      <c r="A4" s="1"/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7"/>
      <c r="L4" s="24"/>
      <c r="M4" s="29"/>
    </row>
    <row r="5" spans="1:13" ht="16.5">
      <c r="A5" s="1"/>
      <c r="H5" s="34"/>
      <c r="I5" s="38">
        <f>I20+I40+I44+I48+I52+I92+I100+I116</f>
        <v>628554600</v>
      </c>
      <c r="J5" s="54">
        <f>J20+J40+J44+J48+J52+J92+J100+J116</f>
        <v>616661000</v>
      </c>
      <c r="K5" s="54">
        <f>K20+K40+K44+K48+K52+K92+K100+K116</f>
        <v>640756000</v>
      </c>
      <c r="L5" s="54">
        <f>L20+L40+L44+L48+L52+L92+L100+L116</f>
        <v>661037500</v>
      </c>
      <c r="M5" s="72" t="s">
        <v>199</v>
      </c>
    </row>
    <row r="6" spans="1:13" ht="16.5">
      <c r="A6" s="1"/>
      <c r="H6" s="34"/>
      <c r="I6" s="38"/>
      <c r="J6" s="54">
        <f>J28+J60+J112-2040.87</f>
        <v>46785972.00000001</v>
      </c>
      <c r="K6" s="54">
        <f>K28+K60+K112</f>
        <v>47525978</v>
      </c>
      <c r="L6" s="54">
        <f>L28+L60+L112</f>
        <v>52557201</v>
      </c>
      <c r="M6" s="72" t="s">
        <v>200</v>
      </c>
    </row>
    <row r="7" spans="1:13" s="32" customFormat="1" ht="21.75" customHeight="1">
      <c r="A7" s="168" t="s">
        <v>3</v>
      </c>
      <c r="B7" s="168" t="s">
        <v>4</v>
      </c>
      <c r="C7" s="168" t="s">
        <v>5</v>
      </c>
      <c r="D7" s="168" t="s">
        <v>121</v>
      </c>
      <c r="E7" s="168" t="s">
        <v>6</v>
      </c>
      <c r="F7" s="168" t="s">
        <v>7</v>
      </c>
      <c r="G7" s="165" t="s">
        <v>8</v>
      </c>
      <c r="H7" s="166"/>
      <c r="I7" s="166"/>
      <c r="J7" s="166"/>
      <c r="K7" s="166"/>
      <c r="L7" s="167"/>
      <c r="M7" s="168" t="s">
        <v>9</v>
      </c>
    </row>
    <row r="8" spans="1:13" s="32" customFormat="1" ht="21.75" customHeight="1">
      <c r="A8" s="169"/>
      <c r="B8" s="169"/>
      <c r="C8" s="169"/>
      <c r="D8" s="169"/>
      <c r="E8" s="169"/>
      <c r="F8" s="169"/>
      <c r="G8" s="20" t="s">
        <v>10</v>
      </c>
      <c r="H8" s="19">
        <v>2020</v>
      </c>
      <c r="I8" s="33">
        <v>2021</v>
      </c>
      <c r="J8" s="19">
        <v>2022</v>
      </c>
      <c r="K8" s="19">
        <v>2023</v>
      </c>
      <c r="L8" s="19">
        <v>2024</v>
      </c>
      <c r="M8" s="169"/>
    </row>
    <row r="9" spans="1:13" s="17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5">
        <v>6</v>
      </c>
      <c r="H9" s="25">
        <v>9</v>
      </c>
      <c r="I9" s="25">
        <v>10</v>
      </c>
      <c r="J9" s="25">
        <v>10</v>
      </c>
      <c r="K9" s="25">
        <v>9</v>
      </c>
      <c r="L9" s="25">
        <v>10</v>
      </c>
      <c r="M9" s="30">
        <v>11</v>
      </c>
    </row>
    <row r="10" spans="1:14" ht="30.75" customHeight="1">
      <c r="A10" s="107" t="s">
        <v>11</v>
      </c>
      <c r="B10" s="170" t="s">
        <v>146</v>
      </c>
      <c r="C10" s="113" t="s">
        <v>125</v>
      </c>
      <c r="D10" s="134" t="s">
        <v>122</v>
      </c>
      <c r="E10" s="113" t="s">
        <v>106</v>
      </c>
      <c r="F10" s="39" t="s">
        <v>12</v>
      </c>
      <c r="G10" s="40">
        <f aca="true" t="shared" si="0" ref="G10:L10">G11+G12+G13</f>
        <v>4937235660.37</v>
      </c>
      <c r="H10" s="40">
        <f t="shared" si="0"/>
        <v>914744851.35</v>
      </c>
      <c r="I10" s="40">
        <f t="shared" si="0"/>
        <v>1015842407.56</v>
      </c>
      <c r="J10" s="40">
        <f t="shared" si="0"/>
        <v>980852235.9200001</v>
      </c>
      <c r="K10" s="40">
        <f t="shared" si="0"/>
        <v>1001358156.07</v>
      </c>
      <c r="L10" s="40">
        <f t="shared" si="0"/>
        <v>1024438009.47</v>
      </c>
      <c r="M10" s="173"/>
      <c r="N10" s="3"/>
    </row>
    <row r="11" spans="1:14" ht="30.75" customHeight="1">
      <c r="A11" s="108"/>
      <c r="B11" s="171"/>
      <c r="C11" s="114"/>
      <c r="D11" s="139"/>
      <c r="E11" s="114"/>
      <c r="F11" s="39" t="s">
        <v>13</v>
      </c>
      <c r="G11" s="40">
        <f>H11+I11+J11+K11+L11</f>
        <v>1245315457.49</v>
      </c>
      <c r="H11" s="41">
        <f aca="true" t="shared" si="1" ref="H11:L13">H15+H35+H83+H95+H119</f>
        <v>231636913.84</v>
      </c>
      <c r="I11" s="41">
        <f t="shared" si="1"/>
        <v>246634835.64</v>
      </c>
      <c r="J11" s="41">
        <f t="shared" si="1"/>
        <v>259974535.08</v>
      </c>
      <c r="K11" s="41">
        <f t="shared" si="1"/>
        <v>255467305.61</v>
      </c>
      <c r="L11" s="41">
        <f t="shared" si="1"/>
        <v>251601867.32</v>
      </c>
      <c r="M11" s="174"/>
      <c r="N11" s="3"/>
    </row>
    <row r="12" spans="1:14" ht="30.75" customHeight="1">
      <c r="A12" s="108"/>
      <c r="B12" s="171"/>
      <c r="C12" s="114"/>
      <c r="D12" s="139"/>
      <c r="E12" s="114"/>
      <c r="F12" s="39" t="s">
        <v>14</v>
      </c>
      <c r="G12" s="40">
        <f>H12+I12+J12+K12+L12</f>
        <v>3465679784.42</v>
      </c>
      <c r="H12" s="41">
        <f t="shared" si="1"/>
        <v>662685803.51</v>
      </c>
      <c r="I12" s="41">
        <f t="shared" si="1"/>
        <v>703229957.4599999</v>
      </c>
      <c r="J12" s="41">
        <f t="shared" si="1"/>
        <v>674340650.84</v>
      </c>
      <c r="K12" s="41">
        <f t="shared" si="1"/>
        <v>699843700.46</v>
      </c>
      <c r="L12" s="41">
        <f t="shared" si="1"/>
        <v>725579672.15</v>
      </c>
      <c r="M12" s="174"/>
      <c r="N12" s="3"/>
    </row>
    <row r="13" spans="1:14" ht="30.75" customHeight="1">
      <c r="A13" s="109"/>
      <c r="B13" s="172"/>
      <c r="C13" s="115"/>
      <c r="D13" s="140"/>
      <c r="E13" s="115"/>
      <c r="F13" s="39" t="s">
        <v>15</v>
      </c>
      <c r="G13" s="40">
        <f>H13+I13+J13+K13+L13</f>
        <v>226240418.45999998</v>
      </c>
      <c r="H13" s="41">
        <f t="shared" si="1"/>
        <v>20422134</v>
      </c>
      <c r="I13" s="41">
        <f t="shared" si="1"/>
        <v>65977614.45999999</v>
      </c>
      <c r="J13" s="41">
        <f t="shared" si="1"/>
        <v>46537050</v>
      </c>
      <c r="K13" s="41">
        <f t="shared" si="1"/>
        <v>46047150</v>
      </c>
      <c r="L13" s="41">
        <f t="shared" si="1"/>
        <v>47256470</v>
      </c>
      <c r="M13" s="175"/>
      <c r="N13" s="3"/>
    </row>
    <row r="14" spans="1:14" ht="21.75" customHeight="1">
      <c r="A14" s="160" t="s">
        <v>16</v>
      </c>
      <c r="B14" s="162" t="s">
        <v>17</v>
      </c>
      <c r="C14" s="151" t="s">
        <v>125</v>
      </c>
      <c r="D14" s="154" t="s">
        <v>122</v>
      </c>
      <c r="E14" s="151" t="s">
        <v>106</v>
      </c>
      <c r="F14" s="42" t="s">
        <v>12</v>
      </c>
      <c r="G14" s="43">
        <f aca="true" t="shared" si="2" ref="G14:L14">G15+G16+G17</f>
        <v>1591486910.24</v>
      </c>
      <c r="H14" s="43">
        <f t="shared" si="2"/>
        <v>300410153.05</v>
      </c>
      <c r="I14" s="43">
        <f t="shared" si="2"/>
        <v>317186259.79</v>
      </c>
      <c r="J14" s="43">
        <f t="shared" si="2"/>
        <v>316491726.38</v>
      </c>
      <c r="K14" s="43">
        <f t="shared" si="2"/>
        <v>324356091.39</v>
      </c>
      <c r="L14" s="43">
        <f t="shared" si="2"/>
        <v>333042679.63</v>
      </c>
      <c r="M14" s="81" t="s">
        <v>153</v>
      </c>
      <c r="N14" s="3"/>
    </row>
    <row r="15" spans="1:14" ht="21.75" customHeight="1">
      <c r="A15" s="161"/>
      <c r="B15" s="163"/>
      <c r="C15" s="152"/>
      <c r="D15" s="155"/>
      <c r="E15" s="152"/>
      <c r="F15" s="42" t="s">
        <v>13</v>
      </c>
      <c r="G15" s="43">
        <f>H15+I15+J15+K15+L15</f>
        <v>494926723.07</v>
      </c>
      <c r="H15" s="44">
        <f aca="true" t="shared" si="3" ref="H15:L17">H19+H23+H27+H31</f>
        <v>96147672.62</v>
      </c>
      <c r="I15" s="44">
        <f t="shared" si="3"/>
        <v>99727111.45</v>
      </c>
      <c r="J15" s="44">
        <f>J19+J23+J27+J31</f>
        <v>100148170</v>
      </c>
      <c r="K15" s="44">
        <f t="shared" si="3"/>
        <v>99281183</v>
      </c>
      <c r="L15" s="44">
        <f t="shared" si="3"/>
        <v>99622586</v>
      </c>
      <c r="M15" s="82"/>
      <c r="N15" s="3"/>
    </row>
    <row r="16" spans="1:14" ht="21.75" customHeight="1">
      <c r="A16" s="161"/>
      <c r="B16" s="163"/>
      <c r="C16" s="152"/>
      <c r="D16" s="155"/>
      <c r="E16" s="152"/>
      <c r="F16" s="42" t="s">
        <v>14</v>
      </c>
      <c r="G16" s="43">
        <f>H16+I16+J16+K16+L16</f>
        <v>1096560187.17</v>
      </c>
      <c r="H16" s="44">
        <f t="shared" si="3"/>
        <v>204262480.43</v>
      </c>
      <c r="I16" s="44">
        <f t="shared" si="3"/>
        <v>217459148.34</v>
      </c>
      <c r="J16" s="44">
        <f>J20+J24+J28+J32</f>
        <v>216343556.38</v>
      </c>
      <c r="K16" s="44">
        <f t="shared" si="3"/>
        <v>225074908.39</v>
      </c>
      <c r="L16" s="44">
        <f t="shared" si="3"/>
        <v>233420093.63</v>
      </c>
      <c r="M16" s="82"/>
      <c r="N16" s="3"/>
    </row>
    <row r="17" spans="1:14" ht="21.75" customHeight="1">
      <c r="A17" s="161"/>
      <c r="B17" s="163"/>
      <c r="C17" s="152"/>
      <c r="D17" s="156"/>
      <c r="E17" s="152"/>
      <c r="F17" s="42" t="s">
        <v>15</v>
      </c>
      <c r="G17" s="43">
        <f>H17+I17+J17+K17+L17</f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  <c r="L17" s="44">
        <f t="shared" si="3"/>
        <v>0</v>
      </c>
      <c r="M17" s="82"/>
      <c r="N17" s="3"/>
    </row>
    <row r="18" spans="1:14" ht="21.75" customHeight="1">
      <c r="A18" s="164" t="s">
        <v>18</v>
      </c>
      <c r="B18" s="142" t="s">
        <v>19</v>
      </c>
      <c r="C18" s="101" t="s">
        <v>125</v>
      </c>
      <c r="D18" s="103" t="s">
        <v>122</v>
      </c>
      <c r="E18" s="101" t="s">
        <v>106</v>
      </c>
      <c r="F18" s="16" t="s">
        <v>12</v>
      </c>
      <c r="G18" s="26">
        <f aca="true" t="shared" si="4" ref="G18:L18">G19+G20+G21</f>
        <v>1456331905.77</v>
      </c>
      <c r="H18" s="26">
        <f t="shared" si="4"/>
        <v>271391628.05</v>
      </c>
      <c r="I18" s="26">
        <f t="shared" si="4"/>
        <v>286733835.72</v>
      </c>
      <c r="J18" s="26">
        <f t="shared" si="4"/>
        <v>292765935</v>
      </c>
      <c r="K18" s="26">
        <f t="shared" si="4"/>
        <v>299447900</v>
      </c>
      <c r="L18" s="26">
        <f t="shared" si="4"/>
        <v>305992607</v>
      </c>
      <c r="M18" s="82"/>
      <c r="N18" s="3"/>
    </row>
    <row r="19" spans="1:14" ht="21.75" customHeight="1">
      <c r="A19" s="117"/>
      <c r="B19" s="143"/>
      <c r="C19" s="102"/>
      <c r="D19" s="104"/>
      <c r="E19" s="102"/>
      <c r="F19" s="16" t="s">
        <v>13</v>
      </c>
      <c r="G19" s="26">
        <f>H19+I19+J19+K19+L19</f>
        <v>490889822.84000003</v>
      </c>
      <c r="H19" s="26">
        <v>95367218.62</v>
      </c>
      <c r="I19" s="26">
        <f>98500729.44+251771.78</f>
        <v>98752501.22</v>
      </c>
      <c r="J19" s="26">
        <f>99927242-500000</f>
        <v>99427242</v>
      </c>
      <c r="K19" s="26">
        <v>98500729</v>
      </c>
      <c r="L19" s="26">
        <v>98842132</v>
      </c>
      <c r="M19" s="82"/>
      <c r="N19" s="3"/>
    </row>
    <row r="20" spans="1:14" ht="21.75" customHeight="1">
      <c r="A20" s="117"/>
      <c r="B20" s="143"/>
      <c r="C20" s="102"/>
      <c r="D20" s="104"/>
      <c r="E20" s="102"/>
      <c r="F20" s="16" t="s">
        <v>14</v>
      </c>
      <c r="G20" s="26">
        <f>H20+I20+J20+K20+L20</f>
        <v>965442082.9300001</v>
      </c>
      <c r="H20" s="26">
        <f>176152309.43-127900</f>
        <v>176024409.43</v>
      </c>
      <c r="I20" s="26">
        <f>188109234.5-127900</f>
        <v>187981334.5</v>
      </c>
      <c r="J20" s="26">
        <f>193465907-127214</f>
        <v>193338693</v>
      </c>
      <c r="K20" s="26">
        <f>201074385-127214</f>
        <v>200947171</v>
      </c>
      <c r="L20" s="26">
        <f>207277689-127214</f>
        <v>207150475</v>
      </c>
      <c r="M20" s="82"/>
      <c r="N20" s="3"/>
    </row>
    <row r="21" spans="1:14" ht="21.75" customHeight="1">
      <c r="A21" s="117"/>
      <c r="B21" s="143"/>
      <c r="C21" s="102"/>
      <c r="D21" s="105"/>
      <c r="E21" s="102"/>
      <c r="F21" s="16" t="s">
        <v>15</v>
      </c>
      <c r="G21" s="26">
        <f>H21+I21+J21+K21+L21</f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82"/>
      <c r="N21" s="3"/>
    </row>
    <row r="22" spans="1:14" ht="21.75" customHeight="1">
      <c r="A22" s="116" t="s">
        <v>20</v>
      </c>
      <c r="B22" s="142" t="s">
        <v>21</v>
      </c>
      <c r="C22" s="101" t="s">
        <v>125</v>
      </c>
      <c r="D22" s="103" t="s">
        <v>122</v>
      </c>
      <c r="E22" s="101" t="s">
        <v>106</v>
      </c>
      <c r="F22" s="16" t="s">
        <v>12</v>
      </c>
      <c r="G22" s="26">
        <f aca="true" t="shared" si="5" ref="G22:L22">G23+G24+G25</f>
        <v>4036900.23</v>
      </c>
      <c r="H22" s="26">
        <f t="shared" si="5"/>
        <v>780454</v>
      </c>
      <c r="I22" s="26">
        <f t="shared" si="5"/>
        <v>974610.2300000001</v>
      </c>
      <c r="J22" s="26">
        <f t="shared" si="5"/>
        <v>720928</v>
      </c>
      <c r="K22" s="26">
        <f t="shared" si="5"/>
        <v>780454</v>
      </c>
      <c r="L22" s="26">
        <f t="shared" si="5"/>
        <v>780454</v>
      </c>
      <c r="M22" s="82"/>
      <c r="N22" s="3"/>
    </row>
    <row r="23" spans="1:17" ht="21.75" customHeight="1">
      <c r="A23" s="117"/>
      <c r="B23" s="143"/>
      <c r="C23" s="102"/>
      <c r="D23" s="104"/>
      <c r="E23" s="102"/>
      <c r="F23" s="16" t="s">
        <v>13</v>
      </c>
      <c r="G23" s="26">
        <f>H23+I23+J23+K23+L23</f>
        <v>4036900.23</v>
      </c>
      <c r="H23" s="26">
        <v>780454</v>
      </c>
      <c r="I23" s="26">
        <f>858767.75+78575.57+37266.91</f>
        <v>974610.2300000001</v>
      </c>
      <c r="J23" s="26">
        <v>720928</v>
      </c>
      <c r="K23" s="26">
        <v>780454</v>
      </c>
      <c r="L23" s="26">
        <v>780454</v>
      </c>
      <c r="M23" s="82"/>
      <c r="N23" s="3"/>
      <c r="Q23" s="3"/>
    </row>
    <row r="24" spans="1:14" ht="21.75" customHeight="1">
      <c r="A24" s="117"/>
      <c r="B24" s="143"/>
      <c r="C24" s="102"/>
      <c r="D24" s="104"/>
      <c r="E24" s="102"/>
      <c r="F24" s="16" t="s">
        <v>14</v>
      </c>
      <c r="G24" s="26">
        <f>H24+I24+J24+K24+L24</f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82"/>
      <c r="N24" s="3"/>
    </row>
    <row r="25" spans="1:14" ht="21.75" customHeight="1">
      <c r="A25" s="118"/>
      <c r="B25" s="144"/>
      <c r="C25" s="102"/>
      <c r="D25" s="105"/>
      <c r="E25" s="106"/>
      <c r="F25" s="16" t="s">
        <v>15</v>
      </c>
      <c r="G25" s="26">
        <f>H25+I25+J25+K25+L25</f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82"/>
      <c r="N25" s="3"/>
    </row>
    <row r="26" spans="1:14" ht="21.75" customHeight="1">
      <c r="A26" s="116" t="s">
        <v>22</v>
      </c>
      <c r="B26" s="142" t="s">
        <v>23</v>
      </c>
      <c r="C26" s="101" t="s">
        <v>125</v>
      </c>
      <c r="D26" s="103" t="s">
        <v>122</v>
      </c>
      <c r="E26" s="101" t="s">
        <v>106</v>
      </c>
      <c r="F26" s="16" t="s">
        <v>12</v>
      </c>
      <c r="G26" s="26">
        <f aca="true" t="shared" si="6" ref="G26:L26">G27+G28+G29</f>
        <v>88014973.84</v>
      </c>
      <c r="H26" s="26">
        <f t="shared" si="6"/>
        <v>18787671</v>
      </c>
      <c r="I26" s="26">
        <f t="shared" si="6"/>
        <v>19609249.84</v>
      </c>
      <c r="J26" s="26">
        <f t="shared" si="6"/>
        <v>15678454</v>
      </c>
      <c r="K26" s="26">
        <f t="shared" si="6"/>
        <v>16087000</v>
      </c>
      <c r="L26" s="26">
        <f t="shared" si="6"/>
        <v>17852599</v>
      </c>
      <c r="M26" s="82"/>
      <c r="N26" s="3"/>
    </row>
    <row r="27" spans="1:14" ht="21.75" customHeight="1">
      <c r="A27" s="117"/>
      <c r="B27" s="143"/>
      <c r="C27" s="102"/>
      <c r="D27" s="104"/>
      <c r="E27" s="102"/>
      <c r="F27" s="16" t="s">
        <v>13</v>
      </c>
      <c r="G27" s="26">
        <f>H27+I27+J27+K27+L27</f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82"/>
      <c r="N27" s="3"/>
    </row>
    <row r="28" spans="1:14" ht="21.75" customHeight="1">
      <c r="A28" s="117"/>
      <c r="B28" s="143"/>
      <c r="C28" s="102"/>
      <c r="D28" s="104"/>
      <c r="E28" s="102"/>
      <c r="F28" s="16" t="s">
        <v>14</v>
      </c>
      <c r="G28" s="26">
        <f>H28+I28+J28+K28+L28</f>
        <v>88014973.84</v>
      </c>
      <c r="H28" s="26">
        <v>18787671</v>
      </c>
      <c r="I28" s="26">
        <v>19609249.84</v>
      </c>
      <c r="J28" s="26">
        <v>15678454</v>
      </c>
      <c r="K28" s="26">
        <v>16087000</v>
      </c>
      <c r="L28" s="26">
        <v>17852599</v>
      </c>
      <c r="M28" s="82"/>
      <c r="N28" s="3"/>
    </row>
    <row r="29" spans="1:15" ht="21.75" customHeight="1">
      <c r="A29" s="118"/>
      <c r="B29" s="144"/>
      <c r="C29" s="102"/>
      <c r="D29" s="105"/>
      <c r="E29" s="106"/>
      <c r="F29" s="16" t="s">
        <v>15</v>
      </c>
      <c r="G29" s="26">
        <f>H29+I29+J29+K29+L29</f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82"/>
      <c r="O29" s="3"/>
    </row>
    <row r="30" spans="1:14" ht="21.75" customHeight="1">
      <c r="A30" s="116" t="s">
        <v>107</v>
      </c>
      <c r="B30" s="142" t="s">
        <v>108</v>
      </c>
      <c r="C30" s="101" t="s">
        <v>125</v>
      </c>
      <c r="D30" s="103" t="s">
        <v>122</v>
      </c>
      <c r="E30" s="101" t="s">
        <v>106</v>
      </c>
      <c r="F30" s="16" t="s">
        <v>12</v>
      </c>
      <c r="G30" s="26">
        <f aca="true" t="shared" si="7" ref="G30:L30">G31+G32+G33</f>
        <v>43103130.4</v>
      </c>
      <c r="H30" s="26">
        <f t="shared" si="7"/>
        <v>9450400</v>
      </c>
      <c r="I30" s="26">
        <f t="shared" si="7"/>
        <v>9868564</v>
      </c>
      <c r="J30" s="26">
        <f t="shared" si="7"/>
        <v>7326409.38</v>
      </c>
      <c r="K30" s="26">
        <f t="shared" si="7"/>
        <v>8040737.39</v>
      </c>
      <c r="L30" s="26">
        <f t="shared" si="7"/>
        <v>8417019.63</v>
      </c>
      <c r="M30" s="82"/>
      <c r="N30" s="3"/>
    </row>
    <row r="31" spans="1:13" ht="21.75" customHeight="1">
      <c r="A31" s="117"/>
      <c r="B31" s="143"/>
      <c r="C31" s="102"/>
      <c r="D31" s="104"/>
      <c r="E31" s="102"/>
      <c r="F31" s="16" t="s">
        <v>13</v>
      </c>
      <c r="G31" s="26">
        <f>H31+I31+J31+K31+L31</f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82"/>
    </row>
    <row r="32" spans="1:13" ht="21.75" customHeight="1">
      <c r="A32" s="117"/>
      <c r="B32" s="143"/>
      <c r="C32" s="102"/>
      <c r="D32" s="104"/>
      <c r="E32" s="102"/>
      <c r="F32" s="16" t="s">
        <v>14</v>
      </c>
      <c r="G32" s="26">
        <f>H32+I32+J32+K32+L32</f>
        <v>43103130.4</v>
      </c>
      <c r="H32" s="26">
        <v>9450400</v>
      </c>
      <c r="I32" s="26">
        <v>9868564</v>
      </c>
      <c r="J32" s="26">
        <v>7326409.38</v>
      </c>
      <c r="K32" s="26">
        <v>8040737.39</v>
      </c>
      <c r="L32" s="26">
        <v>8417019.63</v>
      </c>
      <c r="M32" s="82"/>
    </row>
    <row r="33" spans="1:15" ht="21.75" customHeight="1">
      <c r="A33" s="118"/>
      <c r="B33" s="144"/>
      <c r="C33" s="102"/>
      <c r="D33" s="105"/>
      <c r="E33" s="106"/>
      <c r="F33" s="16" t="s">
        <v>15</v>
      </c>
      <c r="G33" s="26">
        <f>H33+I33+J33+K33+L33</f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122"/>
      <c r="O33" s="3"/>
    </row>
    <row r="34" spans="1:13" ht="21.75" customHeight="1">
      <c r="A34" s="145" t="s">
        <v>24</v>
      </c>
      <c r="B34" s="148" t="s">
        <v>119</v>
      </c>
      <c r="C34" s="151" t="s">
        <v>125</v>
      </c>
      <c r="D34" s="154" t="s">
        <v>123</v>
      </c>
      <c r="E34" s="151" t="s">
        <v>106</v>
      </c>
      <c r="F34" s="42" t="s">
        <v>12</v>
      </c>
      <c r="G34" s="43">
        <f aca="true" t="shared" si="8" ref="G34:L34">G35+G36+G37</f>
        <v>2709814006.08</v>
      </c>
      <c r="H34" s="43">
        <f t="shared" si="8"/>
        <v>504882065.72</v>
      </c>
      <c r="I34" s="43">
        <f t="shared" si="8"/>
        <v>556352473.55</v>
      </c>
      <c r="J34" s="43">
        <f t="shared" si="8"/>
        <v>537247131.81</v>
      </c>
      <c r="K34" s="43">
        <f t="shared" si="8"/>
        <v>548277476</v>
      </c>
      <c r="L34" s="43">
        <f t="shared" si="8"/>
        <v>563054859</v>
      </c>
      <c r="M34" s="81" t="s">
        <v>187</v>
      </c>
    </row>
    <row r="35" spans="1:41" ht="21.75" customHeight="1">
      <c r="A35" s="146"/>
      <c r="B35" s="149"/>
      <c r="C35" s="152"/>
      <c r="D35" s="155"/>
      <c r="E35" s="152"/>
      <c r="F35" s="42" t="s">
        <v>13</v>
      </c>
      <c r="G35" s="43">
        <f>H35+I35+J35+K35+L35</f>
        <v>624226589.83</v>
      </c>
      <c r="H35" s="43">
        <f>H39+H43+H47+H51+H55+H59+H63+H67+H79+H71</f>
        <v>113653893.15</v>
      </c>
      <c r="I35" s="43">
        <f>I39+I43+I47+I51+I55+I59+I63+I67+I79+I71+I75</f>
        <v>123014167.74000001</v>
      </c>
      <c r="J35" s="43">
        <f>J39+J43+J47+J51+J55+J59+J63+J67+J79+J71+J75</f>
        <v>131250532.94</v>
      </c>
      <c r="K35" s="43">
        <f>K39+K43+K47+K51+K55+K59+K63+K67+K79+K71+K75</f>
        <v>128120829</v>
      </c>
      <c r="L35" s="43">
        <f>L39+L43+L47+L51+L55+L59+L63+L67+L79+L71+L75</f>
        <v>128187167</v>
      </c>
      <c r="M35" s="82"/>
      <c r="AO35" s="3">
        <f>SUM(' 2022-24 февр.сесс'!$G$34:$AN$81)</f>
        <v>21678512048.640007</v>
      </c>
    </row>
    <row r="36" spans="1:41" ht="21.75" customHeight="1">
      <c r="A36" s="146"/>
      <c r="B36" s="149"/>
      <c r="C36" s="152"/>
      <c r="D36" s="155"/>
      <c r="E36" s="152"/>
      <c r="F36" s="42" t="s">
        <v>14</v>
      </c>
      <c r="G36" s="43">
        <f>H36+I36+J36+K36+L36</f>
        <v>1952505496.25</v>
      </c>
      <c r="H36" s="43">
        <f>H40+H44+H48+H52+H56+H60+H64+H68+H80+H72</f>
        <v>380646772.57</v>
      </c>
      <c r="I36" s="43">
        <f aca="true" t="shared" si="9" ref="I36:L37">I40+I44+I48+I52+I56+I60+I64+I68+I80+I72+I76</f>
        <v>402558955.81</v>
      </c>
      <c r="J36" s="43">
        <f t="shared" si="9"/>
        <v>375717248.87</v>
      </c>
      <c r="K36" s="43">
        <f t="shared" si="9"/>
        <v>389877297</v>
      </c>
      <c r="L36" s="43">
        <f t="shared" si="9"/>
        <v>403705222</v>
      </c>
      <c r="M36" s="82"/>
      <c r="AO36" s="3">
        <f>SUM(' 2022-24 февр.сесс'!$G$34:$AN$81)</f>
        <v>21678512048.640007</v>
      </c>
    </row>
    <row r="37" spans="1:41" ht="21.75" customHeight="1">
      <c r="A37" s="147"/>
      <c r="B37" s="150"/>
      <c r="C37" s="153"/>
      <c r="D37" s="156"/>
      <c r="E37" s="153"/>
      <c r="F37" s="42" t="s">
        <v>15</v>
      </c>
      <c r="G37" s="43">
        <f>H37+I37+J37+K37+L37</f>
        <v>133081920</v>
      </c>
      <c r="H37" s="43">
        <f>H41+H45+H49+H53+H57+H61+H65+H69+H81+H73</f>
        <v>10581400</v>
      </c>
      <c r="I37" s="43">
        <f t="shared" si="9"/>
        <v>30779350</v>
      </c>
      <c r="J37" s="43">
        <f t="shared" si="9"/>
        <v>30279350</v>
      </c>
      <c r="K37" s="43">
        <f t="shared" si="9"/>
        <v>30279350</v>
      </c>
      <c r="L37" s="43">
        <f t="shared" si="9"/>
        <v>31162470</v>
      </c>
      <c r="M37" s="82"/>
      <c r="AO37" s="3">
        <f>SUM(' 2022-24 февр.сесс'!$G$34:$AN$81)</f>
        <v>21678512048.640007</v>
      </c>
    </row>
    <row r="38" spans="1:41" ht="21.75" customHeight="1">
      <c r="A38" s="116" t="s">
        <v>25</v>
      </c>
      <c r="B38" s="98" t="s">
        <v>26</v>
      </c>
      <c r="C38" s="101" t="s">
        <v>125</v>
      </c>
      <c r="D38" s="103" t="s">
        <v>123</v>
      </c>
      <c r="E38" s="101" t="s">
        <v>106</v>
      </c>
      <c r="F38" s="16" t="s">
        <v>12</v>
      </c>
      <c r="G38" s="26">
        <f aca="true" t="shared" si="10" ref="G38:L38">G39+G40+G41</f>
        <v>3250000</v>
      </c>
      <c r="H38" s="26">
        <f t="shared" si="10"/>
        <v>650000</v>
      </c>
      <c r="I38" s="26">
        <f t="shared" si="10"/>
        <v>650000</v>
      </c>
      <c r="J38" s="26">
        <f t="shared" si="10"/>
        <v>650000</v>
      </c>
      <c r="K38" s="26">
        <f t="shared" si="10"/>
        <v>650000</v>
      </c>
      <c r="L38" s="26">
        <f t="shared" si="10"/>
        <v>650000</v>
      </c>
      <c r="M38" s="82"/>
      <c r="AO38" s="3">
        <f>SUM(' 2022-24 февр.сесс'!$G$34:$AN$81)</f>
        <v>21678512048.640007</v>
      </c>
    </row>
    <row r="39" spans="1:41" ht="21.75" customHeight="1">
      <c r="A39" s="117"/>
      <c r="B39" s="99"/>
      <c r="C39" s="102"/>
      <c r="D39" s="104"/>
      <c r="E39" s="102"/>
      <c r="F39" s="16" t="s">
        <v>13</v>
      </c>
      <c r="G39" s="26">
        <f>H39+I39+J39+K39+L39</f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82"/>
      <c r="AO39" s="3">
        <f>SUM(AO35:AO38)</f>
        <v>86714048194.56003</v>
      </c>
    </row>
    <row r="40" spans="1:13" ht="21.75" customHeight="1">
      <c r="A40" s="117"/>
      <c r="B40" s="99"/>
      <c r="C40" s="102"/>
      <c r="D40" s="104"/>
      <c r="E40" s="102"/>
      <c r="F40" s="16" t="s">
        <v>14</v>
      </c>
      <c r="G40" s="26">
        <f>H40+I40+J40+K40+L40</f>
        <v>3250000</v>
      </c>
      <c r="H40" s="26">
        <v>650000</v>
      </c>
      <c r="I40" s="26">
        <v>650000</v>
      </c>
      <c r="J40" s="26">
        <v>650000</v>
      </c>
      <c r="K40" s="26">
        <v>650000</v>
      </c>
      <c r="L40" s="26">
        <v>650000</v>
      </c>
      <c r="M40" s="82"/>
    </row>
    <row r="41" spans="1:14" ht="21.75" customHeight="1">
      <c r="A41" s="118"/>
      <c r="B41" s="100"/>
      <c r="C41" s="102"/>
      <c r="D41" s="105"/>
      <c r="E41" s="106"/>
      <c r="F41" s="16" t="s">
        <v>15</v>
      </c>
      <c r="G41" s="26">
        <f>H41+I41+J41+K41+L41</f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82"/>
      <c r="N41" s="3"/>
    </row>
    <row r="42" spans="1:15" ht="21.75" customHeight="1">
      <c r="A42" s="116" t="s">
        <v>27</v>
      </c>
      <c r="B42" s="98" t="s">
        <v>28</v>
      </c>
      <c r="C42" s="101" t="s">
        <v>125</v>
      </c>
      <c r="D42" s="103" t="s">
        <v>123</v>
      </c>
      <c r="E42" s="101" t="s">
        <v>106</v>
      </c>
      <c r="F42" s="16" t="s">
        <v>12</v>
      </c>
      <c r="G42" s="26">
        <f aca="true" t="shared" si="11" ref="G42:L42">G43+G44+G45</f>
        <v>43621689</v>
      </c>
      <c r="H42" s="26">
        <f t="shared" si="11"/>
        <v>8744137</v>
      </c>
      <c r="I42" s="26">
        <f t="shared" si="11"/>
        <v>8816768</v>
      </c>
      <c r="J42" s="26">
        <f t="shared" si="11"/>
        <v>8686928</v>
      </c>
      <c r="K42" s="26">
        <f t="shared" si="11"/>
        <v>8686928</v>
      </c>
      <c r="L42" s="26">
        <f t="shared" si="11"/>
        <v>8686928</v>
      </c>
      <c r="M42" s="82"/>
      <c r="O42" s="3"/>
    </row>
    <row r="43" spans="1:13" ht="21.75" customHeight="1">
      <c r="A43" s="117"/>
      <c r="B43" s="99"/>
      <c r="C43" s="102"/>
      <c r="D43" s="104"/>
      <c r="E43" s="102"/>
      <c r="F43" s="16" t="s">
        <v>13</v>
      </c>
      <c r="G43" s="26">
        <f>H43+I43+J43+K43+L43</f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82"/>
    </row>
    <row r="44" spans="1:14" ht="21.75" customHeight="1">
      <c r="A44" s="117"/>
      <c r="B44" s="99"/>
      <c r="C44" s="102"/>
      <c r="D44" s="104"/>
      <c r="E44" s="102"/>
      <c r="F44" s="16" t="s">
        <v>14</v>
      </c>
      <c r="G44" s="26">
        <f>H44+I44+J44+K44+L44</f>
        <v>43621689</v>
      </c>
      <c r="H44" s="26">
        <v>8744137</v>
      </c>
      <c r="I44" s="26">
        <f>8816768</f>
        <v>8816768</v>
      </c>
      <c r="J44" s="26">
        <v>8686928</v>
      </c>
      <c r="K44" s="26">
        <v>8686928</v>
      </c>
      <c r="L44" s="26">
        <v>8686928</v>
      </c>
      <c r="M44" s="82"/>
      <c r="N44" s="6">
        <f>'[1]9 мес 2021'!$H$25-I44</f>
        <v>0</v>
      </c>
    </row>
    <row r="45" spans="1:14" ht="21.75" customHeight="1">
      <c r="A45" s="118"/>
      <c r="B45" s="100"/>
      <c r="C45" s="102"/>
      <c r="D45" s="105"/>
      <c r="E45" s="106"/>
      <c r="F45" s="16" t="s">
        <v>15</v>
      </c>
      <c r="G45" s="26">
        <f>H45+I45+J45+K45+L45</f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82"/>
      <c r="N45" s="7"/>
    </row>
    <row r="46" spans="1:14" ht="21.75" customHeight="1">
      <c r="A46" s="116" t="s">
        <v>29</v>
      </c>
      <c r="B46" s="98" t="s">
        <v>31</v>
      </c>
      <c r="C46" s="101" t="s">
        <v>125</v>
      </c>
      <c r="D46" s="103" t="s">
        <v>123</v>
      </c>
      <c r="E46" s="101" t="s">
        <v>106</v>
      </c>
      <c r="F46" s="16" t="s">
        <v>12</v>
      </c>
      <c r="G46" s="26">
        <f aca="true" t="shared" si="12" ref="G46:L46">G47+G48+G49</f>
        <v>9455460</v>
      </c>
      <c r="H46" s="26">
        <f t="shared" si="12"/>
        <v>1891092</v>
      </c>
      <c r="I46" s="26">
        <f t="shared" si="12"/>
        <v>1891092</v>
      </c>
      <c r="J46" s="26">
        <f t="shared" si="12"/>
        <v>1891092</v>
      </c>
      <c r="K46" s="26">
        <f t="shared" si="12"/>
        <v>1891092</v>
      </c>
      <c r="L46" s="26">
        <f t="shared" si="12"/>
        <v>1891092</v>
      </c>
      <c r="M46" s="82"/>
      <c r="N46" s="7"/>
    </row>
    <row r="47" spans="1:14" ht="21.75" customHeight="1">
      <c r="A47" s="117"/>
      <c r="B47" s="99"/>
      <c r="C47" s="102"/>
      <c r="D47" s="104"/>
      <c r="E47" s="102"/>
      <c r="F47" s="16" t="s">
        <v>13</v>
      </c>
      <c r="G47" s="26">
        <f>H47+I47+J47+K47+L47</f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82"/>
      <c r="N47" s="7"/>
    </row>
    <row r="48" spans="1:14" ht="21.75" customHeight="1">
      <c r="A48" s="117"/>
      <c r="B48" s="99"/>
      <c r="C48" s="102"/>
      <c r="D48" s="104"/>
      <c r="E48" s="102"/>
      <c r="F48" s="16" t="s">
        <v>14</v>
      </c>
      <c r="G48" s="26">
        <f>H48+I48+J48+K48+L48</f>
        <v>9455460</v>
      </c>
      <c r="H48" s="26">
        <v>1891092</v>
      </c>
      <c r="I48" s="26">
        <v>1891092</v>
      </c>
      <c r="J48" s="26">
        <v>1891092</v>
      </c>
      <c r="K48" s="26">
        <v>1891092</v>
      </c>
      <c r="L48" s="26">
        <v>1891092</v>
      </c>
      <c r="M48" s="82"/>
      <c r="N48" s="6"/>
    </row>
    <row r="49" spans="1:13" ht="21.75" customHeight="1">
      <c r="A49" s="118"/>
      <c r="B49" s="100"/>
      <c r="C49" s="102"/>
      <c r="D49" s="105"/>
      <c r="E49" s="106"/>
      <c r="F49" s="16" t="s">
        <v>15</v>
      </c>
      <c r="G49" s="26">
        <f>H49+I49+J49+K49+L49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82"/>
    </row>
    <row r="50" spans="1:14" ht="21.75" customHeight="1">
      <c r="A50" s="116" t="s">
        <v>30</v>
      </c>
      <c r="B50" s="142" t="s">
        <v>33</v>
      </c>
      <c r="C50" s="101" t="s">
        <v>125</v>
      </c>
      <c r="D50" s="103" t="s">
        <v>123</v>
      </c>
      <c r="E50" s="101" t="s">
        <v>106</v>
      </c>
      <c r="F50" s="16" t="s">
        <v>12</v>
      </c>
      <c r="G50" s="26">
        <f aca="true" t="shared" si="13" ref="G50:L50">G51+G52+G53</f>
        <v>2362860500.1099997</v>
      </c>
      <c r="H50" s="26">
        <f t="shared" si="13"/>
        <v>459249705.72</v>
      </c>
      <c r="I50" s="26">
        <f t="shared" si="13"/>
        <v>476025095.39</v>
      </c>
      <c r="J50" s="26">
        <f t="shared" si="13"/>
        <v>465047181</v>
      </c>
      <c r="K50" s="26">
        <f t="shared" si="13"/>
        <v>475658598</v>
      </c>
      <c r="L50" s="26">
        <f t="shared" si="13"/>
        <v>486879920</v>
      </c>
      <c r="M50" s="82"/>
      <c r="N50" s="3"/>
    </row>
    <row r="51" spans="1:15" ht="21.75" customHeight="1">
      <c r="A51" s="117"/>
      <c r="B51" s="143"/>
      <c r="C51" s="102"/>
      <c r="D51" s="104"/>
      <c r="E51" s="102"/>
      <c r="F51" s="16" t="s">
        <v>13</v>
      </c>
      <c r="G51" s="26">
        <f>H51+I51+J51+K51+L51</f>
        <v>611760473.04</v>
      </c>
      <c r="H51" s="26">
        <v>111005611.15</v>
      </c>
      <c r="I51" s="26">
        <f>112774045.47+5964026+1921557.81+130535.61</f>
        <v>120790164.89</v>
      </c>
      <c r="J51" s="26">
        <v>128679717</v>
      </c>
      <c r="K51" s="26">
        <v>125609321</v>
      </c>
      <c r="L51" s="26">
        <v>125675659</v>
      </c>
      <c r="M51" s="82"/>
      <c r="O51" s="8"/>
    </row>
    <row r="52" spans="1:14" ht="21.75" customHeight="1">
      <c r="A52" s="117"/>
      <c r="B52" s="143"/>
      <c r="C52" s="102"/>
      <c r="D52" s="104"/>
      <c r="E52" s="102"/>
      <c r="F52" s="16" t="s">
        <v>14</v>
      </c>
      <c r="G52" s="26">
        <f>H52+I52+J52+K52+L52</f>
        <v>1740518627.07</v>
      </c>
      <c r="H52" s="26">
        <f>349241007.57-293084-H40-H44-H48</f>
        <v>337662694.57</v>
      </c>
      <c r="I52" s="26">
        <f>366885874.5-I40-I48-I44-293084</f>
        <v>355234930.5</v>
      </c>
      <c r="J52" s="26">
        <f>347896678-301194-J40-J44-J48-J68</f>
        <v>336367464</v>
      </c>
      <c r="K52" s="26">
        <f>361578491-301194-K40-K44-K48-K68</f>
        <v>350049277</v>
      </c>
      <c r="L52" s="26">
        <f>372733475-301194-L40-L44-L48-L68</f>
        <v>361204261</v>
      </c>
      <c r="M52" s="82"/>
      <c r="N52" s="3"/>
    </row>
    <row r="53" spans="1:15" ht="21.75" customHeight="1">
      <c r="A53" s="118"/>
      <c r="B53" s="144"/>
      <c r="C53" s="102"/>
      <c r="D53" s="105"/>
      <c r="E53" s="106"/>
      <c r="F53" s="16" t="s">
        <v>15</v>
      </c>
      <c r="G53" s="26">
        <f>H53+I53+J53+K53+L53</f>
        <v>10581400</v>
      </c>
      <c r="H53" s="26">
        <v>10581400</v>
      </c>
      <c r="I53" s="26">
        <v>0</v>
      </c>
      <c r="J53" s="26">
        <v>0</v>
      </c>
      <c r="K53" s="26">
        <v>0</v>
      </c>
      <c r="L53" s="26">
        <v>0</v>
      </c>
      <c r="M53" s="82"/>
      <c r="N53" s="7"/>
      <c r="O53" s="9"/>
    </row>
    <row r="54" spans="1:13" ht="21.75" customHeight="1">
      <c r="A54" s="116" t="s">
        <v>32</v>
      </c>
      <c r="B54" s="142" t="s">
        <v>21</v>
      </c>
      <c r="C54" s="101" t="s">
        <v>125</v>
      </c>
      <c r="D54" s="103" t="s">
        <v>123</v>
      </c>
      <c r="E54" s="101" t="s">
        <v>106</v>
      </c>
      <c r="F54" s="16" t="s">
        <v>12</v>
      </c>
      <c r="G54" s="26">
        <f aca="true" t="shared" si="14" ref="G54:L54">G55+G56+G57</f>
        <v>5370117.65</v>
      </c>
      <c r="H54" s="26">
        <f t="shared" si="14"/>
        <v>1006307</v>
      </c>
      <c r="I54" s="26">
        <f t="shared" si="14"/>
        <v>1385373.84</v>
      </c>
      <c r="J54" s="26">
        <f t="shared" si="14"/>
        <v>965822.81</v>
      </c>
      <c r="K54" s="26">
        <f t="shared" si="14"/>
        <v>1006307</v>
      </c>
      <c r="L54" s="26">
        <f t="shared" si="14"/>
        <v>1006307</v>
      </c>
      <c r="M54" s="82"/>
    </row>
    <row r="55" spans="1:13" ht="21.75" customHeight="1">
      <c r="A55" s="117"/>
      <c r="B55" s="143"/>
      <c r="C55" s="102"/>
      <c r="D55" s="104"/>
      <c r="E55" s="102"/>
      <c r="F55" s="16" t="s">
        <v>13</v>
      </c>
      <c r="G55" s="26">
        <f>H55+I55+J55+K55+L55</f>
        <v>5370117.65</v>
      </c>
      <c r="H55" s="26">
        <v>1006307</v>
      </c>
      <c r="I55" s="26">
        <f>1199420.42+157723.37+28230.05</f>
        <v>1385373.84</v>
      </c>
      <c r="J55" s="26">
        <v>965822.81</v>
      </c>
      <c r="K55" s="26">
        <f>1006307</f>
        <v>1006307</v>
      </c>
      <c r="L55" s="26">
        <v>1006307</v>
      </c>
      <c r="M55" s="82"/>
    </row>
    <row r="56" spans="1:13" ht="21.75" customHeight="1">
      <c r="A56" s="117"/>
      <c r="B56" s="143"/>
      <c r="C56" s="102"/>
      <c r="D56" s="104"/>
      <c r="E56" s="102"/>
      <c r="F56" s="16" t="s">
        <v>14</v>
      </c>
      <c r="G56" s="26">
        <f>H56+I56+J56+K56+L56</f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82"/>
    </row>
    <row r="57" spans="1:13" ht="21.75" customHeight="1">
      <c r="A57" s="118"/>
      <c r="B57" s="144"/>
      <c r="C57" s="102"/>
      <c r="D57" s="105"/>
      <c r="E57" s="106"/>
      <c r="F57" s="16" t="s">
        <v>15</v>
      </c>
      <c r="G57" s="26">
        <f>H57+I57+J57+K57+L57</f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82"/>
    </row>
    <row r="58" spans="1:13" ht="21.75" customHeight="1">
      <c r="A58" s="116" t="s">
        <v>34</v>
      </c>
      <c r="B58" s="142" t="s">
        <v>23</v>
      </c>
      <c r="C58" s="101" t="s">
        <v>125</v>
      </c>
      <c r="D58" s="103" t="s">
        <v>123</v>
      </c>
      <c r="E58" s="101" t="s">
        <v>106</v>
      </c>
      <c r="F58" s="16" t="s">
        <v>12</v>
      </c>
      <c r="G58" s="26">
        <f aca="true" t="shared" si="15" ref="G58:L58">G59+G60+G61</f>
        <v>155985082.87</v>
      </c>
      <c r="H58" s="26">
        <f t="shared" si="15"/>
        <v>31798849</v>
      </c>
      <c r="I58" s="26">
        <f t="shared" si="15"/>
        <v>36091735.87</v>
      </c>
      <c r="J58" s="26">
        <f t="shared" si="15"/>
        <v>28221557</v>
      </c>
      <c r="K58" s="26">
        <f t="shared" si="15"/>
        <v>28600000</v>
      </c>
      <c r="L58" s="26">
        <f t="shared" si="15"/>
        <v>31272941</v>
      </c>
      <c r="M58" s="82"/>
    </row>
    <row r="59" spans="1:13" ht="21.75" customHeight="1">
      <c r="A59" s="117"/>
      <c r="B59" s="143"/>
      <c r="C59" s="102"/>
      <c r="D59" s="104"/>
      <c r="E59" s="102"/>
      <c r="F59" s="16" t="s">
        <v>13</v>
      </c>
      <c r="G59" s="26">
        <f>H59+I59+J59+K59+L59</f>
        <v>325362.69</v>
      </c>
      <c r="H59" s="26">
        <v>100000</v>
      </c>
      <c r="I59" s="26">
        <f>101833.11+23737.45</f>
        <v>125570.56</v>
      </c>
      <c r="J59" s="26">
        <v>99792.13</v>
      </c>
      <c r="K59" s="26">
        <v>0</v>
      </c>
      <c r="L59" s="26">
        <v>0</v>
      </c>
      <c r="M59" s="82"/>
    </row>
    <row r="60" spans="1:13" ht="21.75" customHeight="1">
      <c r="A60" s="117"/>
      <c r="B60" s="143"/>
      <c r="C60" s="102"/>
      <c r="D60" s="104"/>
      <c r="E60" s="102"/>
      <c r="F60" s="16" t="s">
        <v>14</v>
      </c>
      <c r="G60" s="26">
        <f>H60+I60+J60+K60+L60</f>
        <v>155659720.18</v>
      </c>
      <c r="H60" s="26">
        <v>31698849</v>
      </c>
      <c r="I60" s="26">
        <f>35963535.87+2629.44</f>
        <v>35966165.309999995</v>
      </c>
      <c r="J60" s="26">
        <f>28119724+2040.87</f>
        <v>28121764.87</v>
      </c>
      <c r="K60" s="26">
        <v>28600000</v>
      </c>
      <c r="L60" s="26">
        <v>31272941</v>
      </c>
      <c r="M60" s="82"/>
    </row>
    <row r="61" spans="1:13" ht="21.75" customHeight="1">
      <c r="A61" s="118"/>
      <c r="B61" s="144"/>
      <c r="C61" s="102"/>
      <c r="D61" s="105"/>
      <c r="E61" s="106"/>
      <c r="F61" s="16" t="s">
        <v>15</v>
      </c>
      <c r="G61" s="26">
        <f>H61+I61+J61+K61+L61</f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82"/>
    </row>
    <row r="62" spans="1:13" ht="21.75" customHeight="1">
      <c r="A62" s="116" t="s">
        <v>35</v>
      </c>
      <c r="B62" s="98" t="s">
        <v>37</v>
      </c>
      <c r="C62" s="101" t="s">
        <v>125</v>
      </c>
      <c r="D62" s="119" t="s">
        <v>124</v>
      </c>
      <c r="E62" s="101" t="s">
        <v>106</v>
      </c>
      <c r="F62" s="16" t="s">
        <v>12</v>
      </c>
      <c r="G62" s="26">
        <f aca="true" t="shared" si="16" ref="G62:L62">G63+G64+G65</f>
        <v>4800503.45</v>
      </c>
      <c r="H62" s="26">
        <f t="shared" si="16"/>
        <v>1481975</v>
      </c>
      <c r="I62" s="26">
        <f t="shared" si="16"/>
        <v>653058.45</v>
      </c>
      <c r="J62" s="26">
        <f t="shared" si="16"/>
        <v>888490</v>
      </c>
      <c r="K62" s="26">
        <f t="shared" si="16"/>
        <v>888490</v>
      </c>
      <c r="L62" s="26">
        <f t="shared" si="16"/>
        <v>888490</v>
      </c>
      <c r="M62" s="82"/>
    </row>
    <row r="63" spans="1:13" ht="21.75" customHeight="1">
      <c r="A63" s="117"/>
      <c r="B63" s="99"/>
      <c r="C63" s="102"/>
      <c r="D63" s="120"/>
      <c r="E63" s="102"/>
      <c r="F63" s="16" t="s">
        <v>13</v>
      </c>
      <c r="G63" s="26">
        <f>H63+I63+J63+K63+L63</f>
        <v>4800503.45</v>
      </c>
      <c r="H63" s="26">
        <v>1481975</v>
      </c>
      <c r="I63" s="26">
        <f>1481975-602271.91-226644.64</f>
        <v>653058.45</v>
      </c>
      <c r="J63" s="26">
        <v>888490</v>
      </c>
      <c r="K63" s="26">
        <v>888490</v>
      </c>
      <c r="L63" s="26">
        <v>888490</v>
      </c>
      <c r="M63" s="82"/>
    </row>
    <row r="64" spans="1:13" ht="21.75" customHeight="1">
      <c r="A64" s="117"/>
      <c r="B64" s="99"/>
      <c r="C64" s="102"/>
      <c r="D64" s="120"/>
      <c r="E64" s="102"/>
      <c r="F64" s="16" t="s">
        <v>14</v>
      </c>
      <c r="G64" s="26">
        <f>H64+I64+J64+K64+L64</f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82"/>
    </row>
    <row r="65" spans="1:13" ht="21.75" customHeight="1">
      <c r="A65" s="118"/>
      <c r="B65" s="100"/>
      <c r="C65" s="102"/>
      <c r="D65" s="121"/>
      <c r="E65" s="106"/>
      <c r="F65" s="16" t="s">
        <v>15</v>
      </c>
      <c r="G65" s="26">
        <f>H65+I65+J65+K65+L65</f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82"/>
    </row>
    <row r="66" spans="1:13" ht="21.75" customHeight="1">
      <c r="A66" s="116" t="s">
        <v>36</v>
      </c>
      <c r="B66" s="98" t="s">
        <v>39</v>
      </c>
      <c r="C66" s="101" t="s">
        <v>125</v>
      </c>
      <c r="D66" s="103" t="s">
        <v>123</v>
      </c>
      <c r="E66" s="101" t="s">
        <v>106</v>
      </c>
      <c r="F66" s="16" t="s">
        <v>12</v>
      </c>
      <c r="G66" s="26">
        <f aca="true" t="shared" si="17" ref="G66:L66">G67+G68+G69</f>
        <v>0</v>
      </c>
      <c r="H66" s="26">
        <f t="shared" si="17"/>
        <v>0</v>
      </c>
      <c r="I66" s="26">
        <f t="shared" si="17"/>
        <v>0</v>
      </c>
      <c r="J66" s="26">
        <f t="shared" si="17"/>
        <v>0</v>
      </c>
      <c r="K66" s="26">
        <f t="shared" si="17"/>
        <v>0</v>
      </c>
      <c r="L66" s="26">
        <f t="shared" si="17"/>
        <v>0</v>
      </c>
      <c r="M66" s="82"/>
    </row>
    <row r="67" spans="1:13" ht="21.75" customHeight="1">
      <c r="A67" s="117"/>
      <c r="B67" s="99"/>
      <c r="C67" s="102"/>
      <c r="D67" s="104"/>
      <c r="E67" s="102"/>
      <c r="F67" s="16" t="s">
        <v>13</v>
      </c>
      <c r="G67" s="26">
        <f>H67+I67+J67+K67+L67</f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82"/>
    </row>
    <row r="68" spans="1:13" ht="21.75" customHeight="1">
      <c r="A68" s="117"/>
      <c r="B68" s="99"/>
      <c r="C68" s="102"/>
      <c r="D68" s="104"/>
      <c r="E68" s="102"/>
      <c r="F68" s="16" t="s">
        <v>14</v>
      </c>
      <c r="G68" s="26">
        <f>H68+I68+J68+K68+L68</f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82"/>
    </row>
    <row r="69" spans="1:13" ht="21.75" customHeight="1">
      <c r="A69" s="118"/>
      <c r="B69" s="100"/>
      <c r="C69" s="102"/>
      <c r="D69" s="105"/>
      <c r="E69" s="106"/>
      <c r="F69" s="16" t="s">
        <v>15</v>
      </c>
      <c r="G69" s="26">
        <f>H69+I69+J69+K69+L69</f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82"/>
    </row>
    <row r="70" spans="1:13" ht="21.75" customHeight="1">
      <c r="A70" s="116" t="s">
        <v>38</v>
      </c>
      <c r="B70" s="142" t="s">
        <v>185</v>
      </c>
      <c r="C70" s="101" t="s">
        <v>125</v>
      </c>
      <c r="D70" s="103" t="s">
        <v>123</v>
      </c>
      <c r="E70" s="101" t="s">
        <v>106</v>
      </c>
      <c r="F70" s="16" t="s">
        <v>12</v>
      </c>
      <c r="G70" s="26">
        <f aca="true" t="shared" si="18" ref="G70:L70">G71+G72+G73</f>
        <v>122500520</v>
      </c>
      <c r="H70" s="26">
        <f t="shared" si="18"/>
        <v>0</v>
      </c>
      <c r="I70" s="26">
        <f t="shared" si="18"/>
        <v>30779350</v>
      </c>
      <c r="J70" s="26">
        <f t="shared" si="18"/>
        <v>30279350</v>
      </c>
      <c r="K70" s="26">
        <f t="shared" si="18"/>
        <v>30279350</v>
      </c>
      <c r="L70" s="26">
        <f t="shared" si="18"/>
        <v>31162470</v>
      </c>
      <c r="M70" s="82"/>
    </row>
    <row r="71" spans="1:13" ht="21.75" customHeight="1">
      <c r="A71" s="117"/>
      <c r="B71" s="143"/>
      <c r="C71" s="102"/>
      <c r="D71" s="104"/>
      <c r="E71" s="102"/>
      <c r="F71" s="16" t="s">
        <v>13</v>
      </c>
      <c r="G71" s="26">
        <f>H71+I71+J71+K71+L71</f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82"/>
    </row>
    <row r="72" spans="1:13" ht="21.75" customHeight="1">
      <c r="A72" s="117"/>
      <c r="B72" s="143"/>
      <c r="C72" s="102"/>
      <c r="D72" s="104"/>
      <c r="E72" s="102"/>
      <c r="F72" s="16" t="s">
        <v>14</v>
      </c>
      <c r="G72" s="26">
        <f>H72+I72+J72+K72+L72</f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82"/>
    </row>
    <row r="73" spans="1:13" ht="21.75" customHeight="1">
      <c r="A73" s="118"/>
      <c r="B73" s="144"/>
      <c r="C73" s="102"/>
      <c r="D73" s="105"/>
      <c r="E73" s="106"/>
      <c r="F73" s="16" t="s">
        <v>15</v>
      </c>
      <c r="G73" s="26">
        <f>H73+I73+J73+K73+L73</f>
        <v>122500520</v>
      </c>
      <c r="H73" s="26">
        <v>0</v>
      </c>
      <c r="I73" s="26">
        <v>30779350</v>
      </c>
      <c r="J73" s="26">
        <v>30279350</v>
      </c>
      <c r="K73" s="26">
        <v>30279350</v>
      </c>
      <c r="L73" s="26">
        <v>31162470</v>
      </c>
      <c r="M73" s="82"/>
    </row>
    <row r="74" spans="1:13" ht="21.75" customHeight="1">
      <c r="A74" s="95" t="s">
        <v>183</v>
      </c>
      <c r="B74" s="98" t="s">
        <v>182</v>
      </c>
      <c r="C74" s="101" t="s">
        <v>125</v>
      </c>
      <c r="D74" s="103" t="s">
        <v>135</v>
      </c>
      <c r="E74" s="101" t="s">
        <v>106</v>
      </c>
      <c r="F74" s="16" t="s">
        <v>12</v>
      </c>
      <c r="G74" s="26">
        <f aca="true" t="shared" si="19" ref="G74:L74">G75+G76+G77</f>
        <v>1670133</v>
      </c>
      <c r="H74" s="26">
        <f t="shared" si="19"/>
        <v>0</v>
      </c>
      <c r="I74" s="26">
        <f t="shared" si="19"/>
        <v>0</v>
      </c>
      <c r="J74" s="26">
        <f t="shared" si="19"/>
        <v>556711</v>
      </c>
      <c r="K74" s="26">
        <f t="shared" si="19"/>
        <v>556711</v>
      </c>
      <c r="L74" s="26">
        <f t="shared" si="19"/>
        <v>556711</v>
      </c>
      <c r="M74" s="82"/>
    </row>
    <row r="75" spans="1:13" ht="21.75" customHeight="1">
      <c r="A75" s="96"/>
      <c r="B75" s="99"/>
      <c r="C75" s="102"/>
      <c r="D75" s="104"/>
      <c r="E75" s="102"/>
      <c r="F75" s="16" t="s">
        <v>13</v>
      </c>
      <c r="G75" s="26">
        <f>H75+I75+J75+K75+L75</f>
        <v>1670133</v>
      </c>
      <c r="H75" s="26"/>
      <c r="I75" s="26"/>
      <c r="J75" s="26">
        <v>556711</v>
      </c>
      <c r="K75" s="26">
        <v>556711</v>
      </c>
      <c r="L75" s="26">
        <v>556711</v>
      </c>
      <c r="M75" s="82"/>
    </row>
    <row r="76" spans="1:13" ht="21.75" customHeight="1">
      <c r="A76" s="96"/>
      <c r="B76" s="99"/>
      <c r="C76" s="102"/>
      <c r="D76" s="104"/>
      <c r="E76" s="102"/>
      <c r="F76" s="16" t="s">
        <v>14</v>
      </c>
      <c r="G76" s="26">
        <f>H76+I76+J76+K76+L76</f>
        <v>0</v>
      </c>
      <c r="H76" s="26"/>
      <c r="I76" s="26"/>
      <c r="J76" s="26">
        <v>0</v>
      </c>
      <c r="K76" s="26">
        <v>0</v>
      </c>
      <c r="L76" s="26">
        <v>0</v>
      </c>
      <c r="M76" s="82"/>
    </row>
    <row r="77" spans="1:13" ht="21.75" customHeight="1">
      <c r="A77" s="97"/>
      <c r="B77" s="100"/>
      <c r="C77" s="102"/>
      <c r="D77" s="105"/>
      <c r="E77" s="106"/>
      <c r="F77" s="16" t="s">
        <v>15</v>
      </c>
      <c r="G77" s="26">
        <f>H77+I77+J77+K77+L77</f>
        <v>0</v>
      </c>
      <c r="H77" s="26"/>
      <c r="I77" s="26"/>
      <c r="J77" s="26">
        <v>0</v>
      </c>
      <c r="K77" s="26">
        <v>0</v>
      </c>
      <c r="L77" s="26">
        <v>0</v>
      </c>
      <c r="M77" s="82"/>
    </row>
    <row r="78" spans="1:13" ht="21.75" customHeight="1">
      <c r="A78" s="64"/>
      <c r="B78" s="98" t="s">
        <v>83</v>
      </c>
      <c r="C78" s="101" t="s">
        <v>125</v>
      </c>
      <c r="D78" s="119" t="s">
        <v>124</v>
      </c>
      <c r="E78" s="101" t="s">
        <v>106</v>
      </c>
      <c r="F78" s="16" t="s">
        <v>12</v>
      </c>
      <c r="G78" s="26">
        <f aca="true" t="shared" si="20" ref="G78:L78">G79+G80+G81</f>
        <v>300000</v>
      </c>
      <c r="H78" s="26">
        <f>H79+H80+H81</f>
        <v>60000</v>
      </c>
      <c r="I78" s="26">
        <f>I79+I80+I81</f>
        <v>60000</v>
      </c>
      <c r="J78" s="26">
        <f>J79+J80+J81</f>
        <v>60000</v>
      </c>
      <c r="K78" s="26">
        <f t="shared" si="20"/>
        <v>60000</v>
      </c>
      <c r="L78" s="26">
        <f t="shared" si="20"/>
        <v>60000</v>
      </c>
      <c r="M78" s="82"/>
    </row>
    <row r="79" spans="1:13" ht="21.75" customHeight="1">
      <c r="A79" s="64"/>
      <c r="B79" s="99"/>
      <c r="C79" s="102"/>
      <c r="D79" s="120"/>
      <c r="E79" s="102"/>
      <c r="F79" s="16" t="s">
        <v>13</v>
      </c>
      <c r="G79" s="26">
        <f>H79+I79+J79+K79+L79</f>
        <v>300000</v>
      </c>
      <c r="H79" s="26">
        <v>60000</v>
      </c>
      <c r="I79" s="26">
        <v>60000</v>
      </c>
      <c r="J79" s="26">
        <v>60000</v>
      </c>
      <c r="K79" s="26">
        <v>60000</v>
      </c>
      <c r="L79" s="26">
        <v>60000</v>
      </c>
      <c r="M79" s="82"/>
    </row>
    <row r="80" spans="1:13" ht="21.75" customHeight="1">
      <c r="A80" s="65" t="s">
        <v>186</v>
      </c>
      <c r="B80" s="99"/>
      <c r="C80" s="102"/>
      <c r="D80" s="120"/>
      <c r="E80" s="102"/>
      <c r="F80" s="16" t="s">
        <v>14</v>
      </c>
      <c r="G80" s="26">
        <f>H80+I80+J80+K80+L80</f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82"/>
    </row>
    <row r="81" spans="1:13" ht="21.75" customHeight="1">
      <c r="A81" s="64"/>
      <c r="B81" s="100"/>
      <c r="C81" s="102"/>
      <c r="D81" s="121"/>
      <c r="E81" s="106"/>
      <c r="F81" s="16" t="s">
        <v>15</v>
      </c>
      <c r="G81" s="26">
        <f>H81+I81+J81+K81+L81</f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122"/>
    </row>
    <row r="82" spans="1:13" ht="21.75" customHeight="1">
      <c r="A82" s="145" t="s">
        <v>40</v>
      </c>
      <c r="B82" s="148" t="s">
        <v>41</v>
      </c>
      <c r="C82" s="151" t="s">
        <v>125</v>
      </c>
      <c r="D82" s="154" t="s">
        <v>135</v>
      </c>
      <c r="E82" s="151" t="s">
        <v>106</v>
      </c>
      <c r="F82" s="42" t="s">
        <v>12</v>
      </c>
      <c r="G82" s="43">
        <f aca="true" t="shared" si="21" ref="G82:L82">G83+G84+G85</f>
        <v>4665804</v>
      </c>
      <c r="H82" s="43">
        <f>H83+H84+H85</f>
        <v>943488</v>
      </c>
      <c r="I82" s="43">
        <f>I83+I84+I85</f>
        <v>953488</v>
      </c>
      <c r="J82" s="43">
        <f>J83+J84+J85</f>
        <v>856276</v>
      </c>
      <c r="K82" s="43">
        <f t="shared" si="21"/>
        <v>956276</v>
      </c>
      <c r="L82" s="43">
        <f t="shared" si="21"/>
        <v>956276</v>
      </c>
      <c r="M82" s="81" t="s">
        <v>150</v>
      </c>
    </row>
    <row r="83" spans="1:13" ht="21.75" customHeight="1">
      <c r="A83" s="146"/>
      <c r="B83" s="149"/>
      <c r="C83" s="152"/>
      <c r="D83" s="155"/>
      <c r="E83" s="152"/>
      <c r="F83" s="42" t="s">
        <v>13</v>
      </c>
      <c r="G83" s="43">
        <f>H83+I83+J83+K83+L83</f>
        <v>390000</v>
      </c>
      <c r="H83" s="43">
        <f aca="true" t="shared" si="22" ref="H83:L85">H87+H91</f>
        <v>90000</v>
      </c>
      <c r="I83" s="43">
        <f t="shared" si="22"/>
        <v>100000</v>
      </c>
      <c r="J83" s="43">
        <f t="shared" si="22"/>
        <v>0</v>
      </c>
      <c r="K83" s="43">
        <f t="shared" si="22"/>
        <v>100000</v>
      </c>
      <c r="L83" s="43">
        <f t="shared" si="22"/>
        <v>100000</v>
      </c>
      <c r="M83" s="82"/>
    </row>
    <row r="84" spans="1:13" ht="21.75" customHeight="1">
      <c r="A84" s="146"/>
      <c r="B84" s="149"/>
      <c r="C84" s="152"/>
      <c r="D84" s="155"/>
      <c r="E84" s="152"/>
      <c r="F84" s="42" t="s">
        <v>14</v>
      </c>
      <c r="G84" s="43">
        <f>H84+I84+J84+K84+L84</f>
        <v>4275804</v>
      </c>
      <c r="H84" s="43">
        <f t="shared" si="22"/>
        <v>853488</v>
      </c>
      <c r="I84" s="43">
        <f t="shared" si="22"/>
        <v>853488</v>
      </c>
      <c r="J84" s="43">
        <f t="shared" si="22"/>
        <v>856276</v>
      </c>
      <c r="K84" s="43">
        <f t="shared" si="22"/>
        <v>856276</v>
      </c>
      <c r="L84" s="43">
        <f t="shared" si="22"/>
        <v>856276</v>
      </c>
      <c r="M84" s="82"/>
    </row>
    <row r="85" spans="1:13" ht="21.75" customHeight="1">
      <c r="A85" s="147"/>
      <c r="B85" s="150"/>
      <c r="C85" s="153"/>
      <c r="D85" s="156"/>
      <c r="E85" s="153"/>
      <c r="F85" s="42" t="s">
        <v>15</v>
      </c>
      <c r="G85" s="43">
        <f>H85+I85+J85+K85+L85</f>
        <v>0</v>
      </c>
      <c r="H85" s="43">
        <f t="shared" si="22"/>
        <v>0</v>
      </c>
      <c r="I85" s="43">
        <f t="shared" si="22"/>
        <v>0</v>
      </c>
      <c r="J85" s="43">
        <f t="shared" si="22"/>
        <v>0</v>
      </c>
      <c r="K85" s="43">
        <f t="shared" si="22"/>
        <v>0</v>
      </c>
      <c r="L85" s="43">
        <f t="shared" si="22"/>
        <v>0</v>
      </c>
      <c r="M85" s="82"/>
    </row>
    <row r="86" spans="1:13" ht="21.75" customHeight="1">
      <c r="A86" s="10"/>
      <c r="B86" s="98" t="s">
        <v>86</v>
      </c>
      <c r="C86" s="101" t="s">
        <v>125</v>
      </c>
      <c r="D86" s="103" t="s">
        <v>135</v>
      </c>
      <c r="E86" s="101" t="s">
        <v>106</v>
      </c>
      <c r="F86" s="16" t="s">
        <v>12</v>
      </c>
      <c r="G86" s="26">
        <f aca="true" t="shared" si="23" ref="G86:L86">G87+G88+G89</f>
        <v>390000</v>
      </c>
      <c r="H86" s="26">
        <f t="shared" si="23"/>
        <v>90000</v>
      </c>
      <c r="I86" s="26">
        <f t="shared" si="23"/>
        <v>100000</v>
      </c>
      <c r="J86" s="26">
        <f t="shared" si="23"/>
        <v>0</v>
      </c>
      <c r="K86" s="26">
        <f t="shared" si="23"/>
        <v>100000</v>
      </c>
      <c r="L86" s="26">
        <f t="shared" si="23"/>
        <v>100000</v>
      </c>
      <c r="M86" s="82"/>
    </row>
    <row r="87" spans="1:13" ht="21.75" customHeight="1">
      <c r="A87" s="10"/>
      <c r="B87" s="99"/>
      <c r="C87" s="102"/>
      <c r="D87" s="104"/>
      <c r="E87" s="102"/>
      <c r="F87" s="16" t="s">
        <v>13</v>
      </c>
      <c r="G87" s="26">
        <f>H87+I87+J87+K87+L87</f>
        <v>390000</v>
      </c>
      <c r="H87" s="26">
        <v>90000</v>
      </c>
      <c r="I87" s="26">
        <f>100000</f>
        <v>100000</v>
      </c>
      <c r="J87" s="26">
        <f>100000-100000</f>
        <v>0</v>
      </c>
      <c r="K87" s="26">
        <v>100000</v>
      </c>
      <c r="L87" s="26">
        <v>100000</v>
      </c>
      <c r="M87" s="82"/>
    </row>
    <row r="88" spans="1:13" ht="21.75" customHeight="1">
      <c r="A88" s="65" t="s">
        <v>93</v>
      </c>
      <c r="B88" s="99"/>
      <c r="C88" s="102"/>
      <c r="D88" s="104"/>
      <c r="E88" s="102"/>
      <c r="F88" s="16" t="s">
        <v>14</v>
      </c>
      <c r="G88" s="26">
        <f>H88+I88+J88+K88+L88</f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82"/>
    </row>
    <row r="89" spans="1:13" ht="21.75" customHeight="1">
      <c r="A89" s="10"/>
      <c r="B89" s="100"/>
      <c r="C89" s="102"/>
      <c r="D89" s="105"/>
      <c r="E89" s="106"/>
      <c r="F89" s="16" t="s">
        <v>15</v>
      </c>
      <c r="G89" s="26">
        <f>H89+I89+J89+K89+L89</f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82"/>
    </row>
    <row r="90" spans="1:13" ht="21.75" customHeight="1">
      <c r="A90" s="116" t="s">
        <v>92</v>
      </c>
      <c r="B90" s="98" t="s">
        <v>42</v>
      </c>
      <c r="C90" s="101" t="s">
        <v>125</v>
      </c>
      <c r="D90" s="103" t="s">
        <v>123</v>
      </c>
      <c r="E90" s="101" t="s">
        <v>106</v>
      </c>
      <c r="F90" s="16" t="s">
        <v>12</v>
      </c>
      <c r="G90" s="26">
        <f aca="true" t="shared" si="24" ref="G90:L90">G91+G92+G93</f>
        <v>4275804</v>
      </c>
      <c r="H90" s="26">
        <f t="shared" si="24"/>
        <v>853488</v>
      </c>
      <c r="I90" s="26">
        <f t="shared" si="24"/>
        <v>853488</v>
      </c>
      <c r="J90" s="26">
        <f t="shared" si="24"/>
        <v>856276</v>
      </c>
      <c r="K90" s="26">
        <f t="shared" si="24"/>
        <v>856276</v>
      </c>
      <c r="L90" s="26">
        <f t="shared" si="24"/>
        <v>856276</v>
      </c>
      <c r="M90" s="82"/>
    </row>
    <row r="91" spans="1:13" ht="21.75" customHeight="1">
      <c r="A91" s="117"/>
      <c r="B91" s="99"/>
      <c r="C91" s="102"/>
      <c r="D91" s="104"/>
      <c r="E91" s="102"/>
      <c r="F91" s="16" t="s">
        <v>13</v>
      </c>
      <c r="G91" s="26">
        <f>H91+I91+J91+K91+L91</f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82"/>
    </row>
    <row r="92" spans="1:14" ht="21.75" customHeight="1">
      <c r="A92" s="117"/>
      <c r="B92" s="99"/>
      <c r="C92" s="102"/>
      <c r="D92" s="104"/>
      <c r="E92" s="102"/>
      <c r="F92" s="16" t="s">
        <v>14</v>
      </c>
      <c r="G92" s="26">
        <f>H92+I92+J92+K92+L92</f>
        <v>4275804</v>
      </c>
      <c r="H92" s="26">
        <f>127900+293084+432504</f>
        <v>853488</v>
      </c>
      <c r="I92" s="26">
        <f>127900+293084+432504</f>
        <v>853488</v>
      </c>
      <c r="J92" s="26">
        <f>127214+301194+427868</f>
        <v>856276</v>
      </c>
      <c r="K92" s="26">
        <f>127214+301194+427868</f>
        <v>856276</v>
      </c>
      <c r="L92" s="26">
        <f>127214+301194+427868</f>
        <v>856276</v>
      </c>
      <c r="M92" s="82"/>
      <c r="N92" s="11"/>
    </row>
    <row r="93" spans="1:13" ht="21.75" customHeight="1">
      <c r="A93" s="118"/>
      <c r="B93" s="100"/>
      <c r="C93" s="102"/>
      <c r="D93" s="105"/>
      <c r="E93" s="106"/>
      <c r="F93" s="16" t="s">
        <v>15</v>
      </c>
      <c r="G93" s="26">
        <f>H93+I93+J93+K93+L93</f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122"/>
    </row>
    <row r="94" spans="1:13" ht="21.75" customHeight="1">
      <c r="A94" s="145" t="s">
        <v>43</v>
      </c>
      <c r="B94" s="148" t="s">
        <v>44</v>
      </c>
      <c r="C94" s="151" t="s">
        <v>125</v>
      </c>
      <c r="D94" s="154" t="s">
        <v>136</v>
      </c>
      <c r="E94" s="151" t="s">
        <v>106</v>
      </c>
      <c r="F94" s="42" t="s">
        <v>12</v>
      </c>
      <c r="G94" s="43">
        <f aca="true" t="shared" si="25" ref="G94:L94">G95+G96+G97</f>
        <v>480133005.95000005</v>
      </c>
      <c r="H94" s="43">
        <f>H95+H96+H97</f>
        <v>84695056.78</v>
      </c>
      <c r="I94" s="43">
        <f>I95+I96+I97</f>
        <v>96970505.43</v>
      </c>
      <c r="J94" s="43">
        <f>J95+J96+J97</f>
        <v>98856727.93</v>
      </c>
      <c r="K94" s="43">
        <f t="shared" si="25"/>
        <v>100195155.28</v>
      </c>
      <c r="L94" s="43">
        <f t="shared" si="25"/>
        <v>99415560.53</v>
      </c>
      <c r="M94" s="157" t="s">
        <v>162</v>
      </c>
    </row>
    <row r="95" spans="1:13" ht="21.75" customHeight="1">
      <c r="A95" s="146"/>
      <c r="B95" s="149"/>
      <c r="C95" s="152"/>
      <c r="D95" s="155"/>
      <c r="E95" s="152"/>
      <c r="F95" s="42" t="s">
        <v>13</v>
      </c>
      <c r="G95" s="43">
        <f>H95+I95+J95+K95+L95</f>
        <v>95367602.66</v>
      </c>
      <c r="H95" s="43">
        <f aca="true" t="shared" si="26" ref="H95:L97">H99+H103+H115+H107+H111</f>
        <v>19269008.78</v>
      </c>
      <c r="I95" s="43">
        <f t="shared" si="26"/>
        <v>20033854.14</v>
      </c>
      <c r="J95" s="43">
        <f>J99+J103+J115+J107+J111</f>
        <v>20998386.93</v>
      </c>
      <c r="K95" s="43">
        <f t="shared" si="26"/>
        <v>19680921.28</v>
      </c>
      <c r="L95" s="43">
        <f t="shared" si="26"/>
        <v>15385431.53</v>
      </c>
      <c r="M95" s="158"/>
    </row>
    <row r="96" spans="1:13" ht="21.75" customHeight="1">
      <c r="A96" s="146"/>
      <c r="B96" s="149"/>
      <c r="C96" s="152"/>
      <c r="D96" s="155"/>
      <c r="E96" s="152"/>
      <c r="F96" s="42" t="s">
        <v>14</v>
      </c>
      <c r="G96" s="43">
        <f>H96+I96+J96+K96+L96</f>
        <v>384765403.29</v>
      </c>
      <c r="H96" s="43">
        <f t="shared" si="26"/>
        <v>65426048</v>
      </c>
      <c r="I96" s="43">
        <f t="shared" si="26"/>
        <v>76936651.29</v>
      </c>
      <c r="J96" s="43">
        <f>J100+J104+J116+J108+J112</f>
        <v>77858341</v>
      </c>
      <c r="K96" s="43">
        <f t="shared" si="26"/>
        <v>80514234</v>
      </c>
      <c r="L96" s="43">
        <f t="shared" si="26"/>
        <v>84030129</v>
      </c>
      <c r="M96" s="158"/>
    </row>
    <row r="97" spans="1:13" ht="21.75" customHeight="1">
      <c r="A97" s="147"/>
      <c r="B97" s="150"/>
      <c r="C97" s="153"/>
      <c r="D97" s="156"/>
      <c r="E97" s="153"/>
      <c r="F97" s="42" t="s">
        <v>15</v>
      </c>
      <c r="G97" s="43">
        <f>H97+I97+J97+K97+L97</f>
        <v>0</v>
      </c>
      <c r="H97" s="43">
        <f t="shared" si="26"/>
        <v>0</v>
      </c>
      <c r="I97" s="43">
        <f t="shared" si="26"/>
        <v>0</v>
      </c>
      <c r="J97" s="43">
        <f t="shared" si="26"/>
        <v>0</v>
      </c>
      <c r="K97" s="43">
        <f t="shared" si="26"/>
        <v>0</v>
      </c>
      <c r="L97" s="43">
        <f t="shared" si="26"/>
        <v>0</v>
      </c>
      <c r="M97" s="158"/>
    </row>
    <row r="98" spans="1:13" ht="21.75" customHeight="1">
      <c r="A98" s="116" t="s">
        <v>45</v>
      </c>
      <c r="B98" s="98" t="s">
        <v>82</v>
      </c>
      <c r="C98" s="101" t="s">
        <v>125</v>
      </c>
      <c r="D98" s="103" t="s">
        <v>135</v>
      </c>
      <c r="E98" s="101" t="s">
        <v>106</v>
      </c>
      <c r="F98" s="16" t="s">
        <v>12</v>
      </c>
      <c r="G98" s="26">
        <f aca="true" t="shared" si="27" ref="G98:L98">G99+G100+G101</f>
        <v>397209861.13</v>
      </c>
      <c r="H98" s="26">
        <f t="shared" si="27"/>
        <v>75416376.46000001</v>
      </c>
      <c r="I98" s="26">
        <f t="shared" si="27"/>
        <v>78327455.74</v>
      </c>
      <c r="J98" s="26">
        <f t="shared" si="27"/>
        <v>81078227.93</v>
      </c>
      <c r="K98" s="26">
        <f t="shared" si="27"/>
        <v>81989339</v>
      </c>
      <c r="L98" s="26">
        <f t="shared" si="27"/>
        <v>80398462</v>
      </c>
      <c r="M98" s="158"/>
    </row>
    <row r="99" spans="1:15" ht="21.75" customHeight="1">
      <c r="A99" s="117"/>
      <c r="B99" s="99"/>
      <c r="C99" s="102"/>
      <c r="D99" s="104"/>
      <c r="E99" s="102"/>
      <c r="F99" s="16" t="s">
        <v>13</v>
      </c>
      <c r="G99" s="26">
        <f>H99+I99+J99+K99+L99</f>
        <v>77807245.9</v>
      </c>
      <c r="H99" s="26">
        <v>17880557.46</v>
      </c>
      <c r="I99" s="26">
        <f>15484283.05-117000+1049417.39</f>
        <v>16416700.440000001</v>
      </c>
      <c r="J99" s="26">
        <v>17127247</v>
      </c>
      <c r="K99" s="26">
        <v>15367283</v>
      </c>
      <c r="L99" s="26">
        <v>11015458</v>
      </c>
      <c r="M99" s="158"/>
      <c r="N99" s="12"/>
      <c r="O99" s="7"/>
    </row>
    <row r="100" spans="1:13" ht="21.75" customHeight="1">
      <c r="A100" s="117"/>
      <c r="B100" s="99"/>
      <c r="C100" s="102"/>
      <c r="D100" s="104"/>
      <c r="E100" s="102"/>
      <c r="F100" s="16" t="s">
        <v>14</v>
      </c>
      <c r="G100" s="26">
        <f>H100+I100+J100+K100+L100</f>
        <v>319402615.23</v>
      </c>
      <c r="H100" s="26">
        <f>57968323-432504</f>
        <v>57535819</v>
      </c>
      <c r="I100" s="26">
        <f>62343259.3-432504</f>
        <v>61910755.3</v>
      </c>
      <c r="J100" s="26">
        <f>64378848.93-427868</f>
        <v>63950980.93</v>
      </c>
      <c r="K100" s="26">
        <f>67049924-427868</f>
        <v>66622056</v>
      </c>
      <c r="L100" s="26">
        <f>69810872-427868</f>
        <v>69383004</v>
      </c>
      <c r="M100" s="158"/>
    </row>
    <row r="101" spans="1:13" ht="21.75" customHeight="1">
      <c r="A101" s="118"/>
      <c r="B101" s="100"/>
      <c r="C101" s="102"/>
      <c r="D101" s="105"/>
      <c r="E101" s="106"/>
      <c r="F101" s="16" t="s">
        <v>15</v>
      </c>
      <c r="G101" s="26">
        <f>H101+I101+J101+K101+L101</f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158"/>
    </row>
    <row r="102" spans="1:13" ht="21.75" customHeight="1">
      <c r="A102" s="116" t="s">
        <v>46</v>
      </c>
      <c r="B102" s="142" t="s">
        <v>21</v>
      </c>
      <c r="C102" s="101" t="s">
        <v>125</v>
      </c>
      <c r="D102" s="119" t="s">
        <v>132</v>
      </c>
      <c r="E102" s="101" t="s">
        <v>106</v>
      </c>
      <c r="F102" s="16" t="s">
        <v>12</v>
      </c>
      <c r="G102" s="26">
        <f aca="true" t="shared" si="28" ref="G102:L102">G103+G104+G105</f>
        <v>374205.13</v>
      </c>
      <c r="H102" s="26">
        <f t="shared" si="28"/>
        <v>48537.82</v>
      </c>
      <c r="I102" s="26">
        <f t="shared" si="28"/>
        <v>103165.31</v>
      </c>
      <c r="J102" s="26">
        <f t="shared" si="28"/>
        <v>125426</v>
      </c>
      <c r="K102" s="26">
        <f t="shared" si="28"/>
        <v>48538</v>
      </c>
      <c r="L102" s="26">
        <f t="shared" si="28"/>
        <v>48538</v>
      </c>
      <c r="M102" s="158"/>
    </row>
    <row r="103" spans="1:13" ht="21.75" customHeight="1">
      <c r="A103" s="117"/>
      <c r="B103" s="143"/>
      <c r="C103" s="102"/>
      <c r="D103" s="120"/>
      <c r="E103" s="102"/>
      <c r="F103" s="16" t="s">
        <v>13</v>
      </c>
      <c r="G103" s="26">
        <f>H103+I103+J103+K103+L103</f>
        <v>374205.13</v>
      </c>
      <c r="H103" s="26">
        <f>48538-0.18</f>
        <v>48537.82</v>
      </c>
      <c r="I103" s="26">
        <f>94165.31+9000</f>
        <v>103165.31</v>
      </c>
      <c r="J103" s="26">
        <v>125426</v>
      </c>
      <c r="K103" s="26">
        <v>48538</v>
      </c>
      <c r="L103" s="26">
        <v>48538</v>
      </c>
      <c r="M103" s="158"/>
    </row>
    <row r="104" spans="1:13" ht="21.75" customHeight="1">
      <c r="A104" s="117"/>
      <c r="B104" s="143"/>
      <c r="C104" s="102"/>
      <c r="D104" s="120"/>
      <c r="E104" s="102"/>
      <c r="F104" s="16" t="s">
        <v>14</v>
      </c>
      <c r="G104" s="26">
        <f>H104+I104+J104+K104+L104</f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158"/>
    </row>
    <row r="105" spans="1:13" ht="21.75" customHeight="1">
      <c r="A105" s="118"/>
      <c r="B105" s="144"/>
      <c r="C105" s="102"/>
      <c r="D105" s="121"/>
      <c r="E105" s="106"/>
      <c r="F105" s="16" t="s">
        <v>15</v>
      </c>
      <c r="G105" s="26">
        <f>H105+I105+J105+K105+L105</f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158"/>
    </row>
    <row r="106" spans="1:13" ht="21.75" customHeight="1">
      <c r="A106" s="64"/>
      <c r="B106" s="142" t="s">
        <v>96</v>
      </c>
      <c r="C106" s="101" t="s">
        <v>125</v>
      </c>
      <c r="D106" s="119" t="s">
        <v>133</v>
      </c>
      <c r="E106" s="101" t="s">
        <v>106</v>
      </c>
      <c r="F106" s="16" t="s">
        <v>12</v>
      </c>
      <c r="G106" s="26">
        <f aca="true" t="shared" si="29" ref="G106:L106">G107+G108+G109</f>
        <v>3987641.65</v>
      </c>
      <c r="H106" s="26">
        <f t="shared" si="29"/>
        <v>393480</v>
      </c>
      <c r="I106" s="26">
        <f t="shared" si="29"/>
        <v>1094161.65</v>
      </c>
      <c r="J106" s="26">
        <f t="shared" si="29"/>
        <v>500000</v>
      </c>
      <c r="K106" s="26">
        <f t="shared" si="29"/>
        <v>1000000</v>
      </c>
      <c r="L106" s="26">
        <f t="shared" si="29"/>
        <v>1000000</v>
      </c>
      <c r="M106" s="158"/>
    </row>
    <row r="107" spans="1:13" ht="21.75" customHeight="1">
      <c r="A107" s="64"/>
      <c r="B107" s="143"/>
      <c r="C107" s="102"/>
      <c r="D107" s="120"/>
      <c r="E107" s="102"/>
      <c r="F107" s="16" t="s">
        <v>13</v>
      </c>
      <c r="G107" s="26">
        <f>H107+I107+J107+K107+L107</f>
        <v>3987641.65</v>
      </c>
      <c r="H107" s="26">
        <v>393480</v>
      </c>
      <c r="I107" s="26">
        <f>20000+1074161.65</f>
        <v>1094161.65</v>
      </c>
      <c r="J107" s="26">
        <v>500000</v>
      </c>
      <c r="K107" s="26">
        <v>1000000</v>
      </c>
      <c r="L107" s="26">
        <v>1000000</v>
      </c>
      <c r="M107" s="158"/>
    </row>
    <row r="108" spans="1:13" ht="21.75" customHeight="1">
      <c r="A108" s="65" t="s">
        <v>95</v>
      </c>
      <c r="B108" s="143"/>
      <c r="C108" s="102"/>
      <c r="D108" s="120"/>
      <c r="E108" s="102"/>
      <c r="F108" s="16" t="s">
        <v>14</v>
      </c>
      <c r="G108" s="26">
        <f>H108+I108+J108+K108+L108</f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158"/>
    </row>
    <row r="109" spans="1:13" ht="21.75" customHeight="1">
      <c r="A109" s="64"/>
      <c r="B109" s="144"/>
      <c r="C109" s="102"/>
      <c r="D109" s="121"/>
      <c r="E109" s="106"/>
      <c r="F109" s="16" t="s">
        <v>15</v>
      </c>
      <c r="G109" s="26">
        <f>H109+I109+J109+K109+L109</f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158"/>
    </row>
    <row r="110" spans="1:13" ht="21.75" customHeight="1">
      <c r="A110" s="116" t="s">
        <v>94</v>
      </c>
      <c r="B110" s="142" t="s">
        <v>23</v>
      </c>
      <c r="C110" s="101" t="s">
        <v>125</v>
      </c>
      <c r="D110" s="119" t="s">
        <v>134</v>
      </c>
      <c r="E110" s="101" t="s">
        <v>106</v>
      </c>
      <c r="F110" s="16" t="s">
        <v>12</v>
      </c>
      <c r="G110" s="26">
        <f aca="true" t="shared" si="30" ref="G110:L110">G111+G112+G113</f>
        <v>16983877.29</v>
      </c>
      <c r="H110" s="26">
        <f t="shared" si="30"/>
        <v>3915780</v>
      </c>
      <c r="I110" s="26">
        <f t="shared" si="30"/>
        <v>3809664.29</v>
      </c>
      <c r="J110" s="26">
        <f t="shared" si="30"/>
        <v>2987794</v>
      </c>
      <c r="K110" s="26">
        <f t="shared" si="30"/>
        <v>2838978</v>
      </c>
      <c r="L110" s="26">
        <f t="shared" si="30"/>
        <v>3431661</v>
      </c>
      <c r="M110" s="158"/>
    </row>
    <row r="111" spans="1:13" ht="21.75" customHeight="1">
      <c r="A111" s="117"/>
      <c r="B111" s="143"/>
      <c r="C111" s="102"/>
      <c r="D111" s="120"/>
      <c r="E111" s="102"/>
      <c r="F111" s="16" t="s">
        <v>13</v>
      </c>
      <c r="G111" s="26">
        <f>H111+I111+J111+K111+L111</f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158"/>
    </row>
    <row r="112" spans="1:13" ht="21.75" customHeight="1">
      <c r="A112" s="117"/>
      <c r="B112" s="143"/>
      <c r="C112" s="102"/>
      <c r="D112" s="120"/>
      <c r="E112" s="102"/>
      <c r="F112" s="16" t="s">
        <v>14</v>
      </c>
      <c r="G112" s="26">
        <f>H112+I112+J112+K112+L112</f>
        <v>16983877.29</v>
      </c>
      <c r="H112" s="26">
        <f>1513280+2402500</f>
        <v>3915780</v>
      </c>
      <c r="I112" s="26">
        <f>1178210+2631454.29</f>
        <v>3809664.29</v>
      </c>
      <c r="J112" s="26">
        <f>1154809+1980000-147015</f>
        <v>2987794</v>
      </c>
      <c r="K112" s="26">
        <f>1195000+1643978</f>
        <v>2838978</v>
      </c>
      <c r="L112" s="26">
        <f>1341133+2090528</f>
        <v>3431661</v>
      </c>
      <c r="M112" s="158"/>
    </row>
    <row r="113" spans="1:13" ht="21.75" customHeight="1">
      <c r="A113" s="118"/>
      <c r="B113" s="144"/>
      <c r="C113" s="102"/>
      <c r="D113" s="121"/>
      <c r="E113" s="106"/>
      <c r="F113" s="16" t="s">
        <v>15</v>
      </c>
      <c r="G113" s="26">
        <f>H113+I113+J113+K113+L113</f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158"/>
    </row>
    <row r="114" spans="1:13" ht="21.75" customHeight="1">
      <c r="A114" s="116" t="s">
        <v>160</v>
      </c>
      <c r="B114" s="142" t="s">
        <v>159</v>
      </c>
      <c r="C114" s="101" t="s">
        <v>125</v>
      </c>
      <c r="D114" s="103" t="s">
        <v>137</v>
      </c>
      <c r="E114" s="101" t="s">
        <v>106</v>
      </c>
      <c r="F114" s="16" t="s">
        <v>12</v>
      </c>
      <c r="G114" s="26">
        <f aca="true" t="shared" si="31" ref="G114:L114">G115+G116+G117</f>
        <v>61577420.74999999</v>
      </c>
      <c r="H114" s="26">
        <f t="shared" si="31"/>
        <v>4920882.5</v>
      </c>
      <c r="I114" s="26">
        <f t="shared" si="31"/>
        <v>13636058.44</v>
      </c>
      <c r="J114" s="26">
        <f t="shared" si="31"/>
        <v>14165280</v>
      </c>
      <c r="K114" s="26">
        <f t="shared" si="31"/>
        <v>14318300.28</v>
      </c>
      <c r="L114" s="26">
        <f t="shared" si="31"/>
        <v>14536899.53</v>
      </c>
      <c r="M114" s="158"/>
    </row>
    <row r="115" spans="1:13" ht="21.75" customHeight="1">
      <c r="A115" s="117"/>
      <c r="B115" s="143"/>
      <c r="C115" s="102"/>
      <c r="D115" s="104"/>
      <c r="E115" s="102"/>
      <c r="F115" s="16" t="s">
        <v>13</v>
      </c>
      <c r="G115" s="26">
        <f>H115+I115+J115+K115+L115</f>
        <v>13198509.979999999</v>
      </c>
      <c r="H115" s="26">
        <f>845990.48+96482.96-233.44+4193.5</f>
        <v>946433.5</v>
      </c>
      <c r="I115" s="26">
        <f>2724868.3-76260.5*3-76260.06</f>
        <v>2419826.7399999998</v>
      </c>
      <c r="J115" s="26">
        <v>3245713.93</v>
      </c>
      <c r="K115" s="26">
        <v>3265100.28</v>
      </c>
      <c r="L115" s="26">
        <v>3321435.53</v>
      </c>
      <c r="M115" s="158"/>
    </row>
    <row r="116" spans="1:13" ht="21.75" customHeight="1">
      <c r="A116" s="117"/>
      <c r="B116" s="143"/>
      <c r="C116" s="102"/>
      <c r="D116" s="104"/>
      <c r="E116" s="102"/>
      <c r="F116" s="16" t="s">
        <v>14</v>
      </c>
      <c r="G116" s="26">
        <f>H116+I116+J116+K116+L116</f>
        <v>48378910.769999996</v>
      </c>
      <c r="H116" s="26">
        <f>3768960+205489</f>
        <v>3974449</v>
      </c>
      <c r="I116" s="26">
        <v>11216231.7</v>
      </c>
      <c r="J116" s="26">
        <v>10919566.07</v>
      </c>
      <c r="K116" s="26">
        <v>11053200</v>
      </c>
      <c r="L116" s="26">
        <v>11215464</v>
      </c>
      <c r="M116" s="158"/>
    </row>
    <row r="117" spans="1:13" ht="21.75" customHeight="1">
      <c r="A117" s="118"/>
      <c r="B117" s="144"/>
      <c r="C117" s="102"/>
      <c r="D117" s="105"/>
      <c r="E117" s="106"/>
      <c r="F117" s="16" t="s">
        <v>15</v>
      </c>
      <c r="G117" s="26">
        <f>H117+I117+J117+K117+L117</f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159"/>
    </row>
    <row r="118" spans="1:13" ht="21.75" customHeight="1">
      <c r="A118" s="145" t="s">
        <v>47</v>
      </c>
      <c r="B118" s="148" t="s">
        <v>48</v>
      </c>
      <c r="C118" s="151" t="s">
        <v>125</v>
      </c>
      <c r="D118" s="154" t="s">
        <v>137</v>
      </c>
      <c r="E118" s="151" t="s">
        <v>106</v>
      </c>
      <c r="F118" s="42" t="s">
        <v>12</v>
      </c>
      <c r="G118" s="43">
        <f aca="true" t="shared" si="32" ref="G118:L118">G119+G120+G121</f>
        <v>151135934.1</v>
      </c>
      <c r="H118" s="43">
        <f>H119+H120+H121</f>
        <v>23814087.8</v>
      </c>
      <c r="I118" s="43">
        <f>I119+I120+I121</f>
        <v>44379680.78999999</v>
      </c>
      <c r="J118" s="43">
        <f>J119+J120+J121</f>
        <v>27400373.8</v>
      </c>
      <c r="K118" s="43">
        <f t="shared" si="32"/>
        <v>27573157.4</v>
      </c>
      <c r="L118" s="43">
        <f t="shared" si="32"/>
        <v>27968634.310000002</v>
      </c>
      <c r="M118" s="81"/>
    </row>
    <row r="119" spans="1:13" ht="21.75" customHeight="1">
      <c r="A119" s="146"/>
      <c r="B119" s="149"/>
      <c r="C119" s="152"/>
      <c r="D119" s="155"/>
      <c r="E119" s="152"/>
      <c r="F119" s="42" t="s">
        <v>13</v>
      </c>
      <c r="G119" s="43">
        <f>H119+I119+J119+K119+L119</f>
        <v>30404541.93</v>
      </c>
      <c r="H119" s="43">
        <f>H123+H135+H139+H143+H147+H151+H127+H131+H155+H159+H163</f>
        <v>2476339.29</v>
      </c>
      <c r="I119" s="43">
        <f>I123+I135+I139+I143+I147+I151+I127+I131+I155+I159+I163</f>
        <v>3759702.31</v>
      </c>
      <c r="J119" s="43">
        <f>J123+J135+J139+J143+J147+J151+J127+J131+J155+J159+J163</f>
        <v>7577445.21</v>
      </c>
      <c r="K119" s="43">
        <f>K123+K135+K139+K143+K147+K151+K127+K131+K155+K159+K163</f>
        <v>8284372.33</v>
      </c>
      <c r="L119" s="43">
        <f>L123+L135+L139+L143+L147+L151+L127+L131+L155+L159+L163</f>
        <v>8306682.79</v>
      </c>
      <c r="M119" s="82"/>
    </row>
    <row r="120" spans="1:13" ht="21.75" customHeight="1">
      <c r="A120" s="146"/>
      <c r="B120" s="149"/>
      <c r="C120" s="152"/>
      <c r="D120" s="155"/>
      <c r="E120" s="152"/>
      <c r="F120" s="42" t="s">
        <v>14</v>
      </c>
      <c r="G120" s="43">
        <f>H120+I120+J120+K120+L120</f>
        <v>27572893.71</v>
      </c>
      <c r="H120" s="43">
        <f aca="true" t="shared" si="33" ref="H120:J121">H124+H136+H140+H144+H148+H152+H128+H132+H156+H160+H164</f>
        <v>11497014.51</v>
      </c>
      <c r="I120" s="43">
        <f t="shared" si="33"/>
        <v>5421714.0200000005</v>
      </c>
      <c r="J120" s="43">
        <f t="shared" si="33"/>
        <v>3565228.59</v>
      </c>
      <c r="K120" s="43">
        <f>K124+K136+K140+K144+K148+K152+K128+K132+K156+K160+K164</f>
        <v>3520985.0700000003</v>
      </c>
      <c r="L120" s="43">
        <f>L124+L136+L140+L144+L148+L152+L128+L132+L156+L160+L164</f>
        <v>3567951.52</v>
      </c>
      <c r="M120" s="82"/>
    </row>
    <row r="121" spans="1:13" ht="21.75" customHeight="1">
      <c r="A121" s="147"/>
      <c r="B121" s="150"/>
      <c r="C121" s="153"/>
      <c r="D121" s="156"/>
      <c r="E121" s="153"/>
      <c r="F121" s="42" t="s">
        <v>15</v>
      </c>
      <c r="G121" s="43">
        <f>H121+I121+J121+K121+L121</f>
        <v>93158498.46</v>
      </c>
      <c r="H121" s="43">
        <f t="shared" si="33"/>
        <v>9840734</v>
      </c>
      <c r="I121" s="43">
        <f t="shared" si="33"/>
        <v>35198264.45999999</v>
      </c>
      <c r="J121" s="43">
        <f t="shared" si="33"/>
        <v>16257700</v>
      </c>
      <c r="K121" s="43">
        <f>K125+K137+K141+K145+K149+K153+K129+K133+K157+K161+K165</f>
        <v>15767800</v>
      </c>
      <c r="L121" s="43">
        <f>L125+L137+L141+L145+L149+L153+L129+L133+L157+L161+L165</f>
        <v>16094000</v>
      </c>
      <c r="M121" s="82"/>
    </row>
    <row r="122" spans="1:13" ht="21.75" customHeight="1">
      <c r="A122" s="116" t="s">
        <v>49</v>
      </c>
      <c r="B122" s="98" t="s">
        <v>50</v>
      </c>
      <c r="C122" s="101" t="s">
        <v>125</v>
      </c>
      <c r="D122" s="101"/>
      <c r="E122" s="101" t="s">
        <v>106</v>
      </c>
      <c r="F122" s="16" t="s">
        <v>12</v>
      </c>
      <c r="G122" s="26">
        <f aca="true" t="shared" si="34" ref="G122:L122">G123+G124+G125</f>
        <v>58058</v>
      </c>
      <c r="H122" s="26">
        <f t="shared" si="34"/>
        <v>58058</v>
      </c>
      <c r="I122" s="26">
        <f t="shared" si="34"/>
        <v>0</v>
      </c>
      <c r="J122" s="26">
        <f t="shared" si="34"/>
        <v>0</v>
      </c>
      <c r="K122" s="26">
        <f t="shared" si="34"/>
        <v>0</v>
      </c>
      <c r="L122" s="26">
        <f t="shared" si="34"/>
        <v>0</v>
      </c>
      <c r="M122" s="82" t="s">
        <v>144</v>
      </c>
    </row>
    <row r="123" spans="1:13" ht="21.75" customHeight="1">
      <c r="A123" s="117"/>
      <c r="B123" s="99"/>
      <c r="C123" s="102"/>
      <c r="D123" s="102"/>
      <c r="E123" s="102"/>
      <c r="F123" s="16" t="s">
        <v>13</v>
      </c>
      <c r="G123" s="26">
        <f>H123+I123+J123+K123+L123</f>
        <v>58058</v>
      </c>
      <c r="H123" s="26">
        <v>58058</v>
      </c>
      <c r="I123" s="26">
        <v>0</v>
      </c>
      <c r="J123" s="26">
        <v>0</v>
      </c>
      <c r="K123" s="26">
        <v>0</v>
      </c>
      <c r="L123" s="26">
        <v>0</v>
      </c>
      <c r="M123" s="82"/>
    </row>
    <row r="124" spans="1:13" ht="21.75" customHeight="1">
      <c r="A124" s="117"/>
      <c r="B124" s="99"/>
      <c r="C124" s="102"/>
      <c r="D124" s="102"/>
      <c r="E124" s="102"/>
      <c r="F124" s="16" t="s">
        <v>14</v>
      </c>
      <c r="G124" s="26">
        <f>H124+I124+J124+K124+L124</f>
        <v>0</v>
      </c>
      <c r="H124" s="26">
        <v>0</v>
      </c>
      <c r="I124" s="26">
        <v>0</v>
      </c>
      <c r="J124" s="26">
        <v>0</v>
      </c>
      <c r="K124" s="26"/>
      <c r="L124" s="26">
        <v>0</v>
      </c>
      <c r="M124" s="82"/>
    </row>
    <row r="125" spans="1:13" ht="21.75" customHeight="1">
      <c r="A125" s="118"/>
      <c r="B125" s="100"/>
      <c r="C125" s="102"/>
      <c r="D125" s="106"/>
      <c r="E125" s="106"/>
      <c r="F125" s="16" t="s">
        <v>15</v>
      </c>
      <c r="G125" s="26">
        <f>H125+I125+J125+K125+L125</f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82"/>
    </row>
    <row r="126" spans="1:13" ht="21.75" customHeight="1">
      <c r="A126" s="116" t="s">
        <v>51</v>
      </c>
      <c r="B126" s="98" t="s">
        <v>116</v>
      </c>
      <c r="C126" s="101" t="s">
        <v>125</v>
      </c>
      <c r="D126" s="119" t="s">
        <v>129</v>
      </c>
      <c r="E126" s="101" t="s">
        <v>106</v>
      </c>
      <c r="F126" s="16" t="s">
        <v>12</v>
      </c>
      <c r="G126" s="26">
        <f aca="true" t="shared" si="35" ref="G126:L126">G127+G128+G129</f>
        <v>14525521</v>
      </c>
      <c r="H126" s="26">
        <f t="shared" si="35"/>
        <v>12027171</v>
      </c>
      <c r="I126" s="26">
        <f t="shared" si="35"/>
        <v>2498350</v>
      </c>
      <c r="J126" s="26">
        <f t="shared" si="35"/>
        <v>0</v>
      </c>
      <c r="K126" s="26">
        <f t="shared" si="35"/>
        <v>0</v>
      </c>
      <c r="L126" s="26">
        <f t="shared" si="35"/>
        <v>0</v>
      </c>
      <c r="M126" s="82"/>
    </row>
    <row r="127" spans="1:13" ht="21.75" customHeight="1">
      <c r="A127" s="117"/>
      <c r="B127" s="99"/>
      <c r="C127" s="102"/>
      <c r="D127" s="120"/>
      <c r="E127" s="102"/>
      <c r="F127" s="16" t="s">
        <v>13</v>
      </c>
      <c r="G127" s="26">
        <f>H127+I127+J127+K127+L127</f>
        <v>977901</v>
      </c>
      <c r="H127" s="26">
        <v>900000</v>
      </c>
      <c r="I127" s="26">
        <v>77901</v>
      </c>
      <c r="J127" s="26">
        <v>0</v>
      </c>
      <c r="K127" s="26">
        <v>0</v>
      </c>
      <c r="L127" s="26">
        <v>0</v>
      </c>
      <c r="M127" s="82"/>
    </row>
    <row r="128" spans="1:13" ht="21.75" customHeight="1">
      <c r="A128" s="117"/>
      <c r="B128" s="99"/>
      <c r="C128" s="102"/>
      <c r="D128" s="120"/>
      <c r="E128" s="102"/>
      <c r="F128" s="16" t="s">
        <v>14</v>
      </c>
      <c r="G128" s="26">
        <f>H128+I128+J128+K128+L128</f>
        <v>9349858.94</v>
      </c>
      <c r="H128" s="26">
        <v>7685537</v>
      </c>
      <c r="I128" s="26">
        <f>464321.94+1200000</f>
        <v>1664321.94</v>
      </c>
      <c r="J128" s="26">
        <v>0</v>
      </c>
      <c r="K128" s="26">
        <v>0</v>
      </c>
      <c r="L128" s="26">
        <v>0</v>
      </c>
      <c r="M128" s="82"/>
    </row>
    <row r="129" spans="1:13" ht="21.75" customHeight="1">
      <c r="A129" s="118"/>
      <c r="B129" s="100"/>
      <c r="C129" s="102"/>
      <c r="D129" s="121"/>
      <c r="E129" s="106"/>
      <c r="F129" s="16" t="s">
        <v>15</v>
      </c>
      <c r="G129" s="26">
        <f>H129+I129+J129+K129+L129</f>
        <v>4197761.0600000005</v>
      </c>
      <c r="H129" s="26">
        <v>3441634</v>
      </c>
      <c r="I129" s="26">
        <v>756127.06</v>
      </c>
      <c r="J129" s="26">
        <v>0</v>
      </c>
      <c r="K129" s="26">
        <v>0</v>
      </c>
      <c r="L129" s="26">
        <v>0</v>
      </c>
      <c r="M129" s="82"/>
    </row>
    <row r="130" spans="1:25" s="35" customFormat="1" ht="21.75" customHeight="1">
      <c r="A130" s="116" t="s">
        <v>52</v>
      </c>
      <c r="B130" s="98" t="s">
        <v>169</v>
      </c>
      <c r="C130" s="101" t="s">
        <v>125</v>
      </c>
      <c r="D130" s="135" t="s">
        <v>170</v>
      </c>
      <c r="E130" s="101" t="s">
        <v>106</v>
      </c>
      <c r="F130" s="16" t="s">
        <v>12</v>
      </c>
      <c r="G130" s="26">
        <f aca="true" t="shared" si="36" ref="G130:L130">G131+G132+G133</f>
        <v>21151290</v>
      </c>
      <c r="H130" s="26">
        <f t="shared" si="36"/>
        <v>0</v>
      </c>
      <c r="I130" s="26">
        <f t="shared" si="36"/>
        <v>21151290</v>
      </c>
      <c r="J130" s="26">
        <f t="shared" si="36"/>
        <v>0</v>
      </c>
      <c r="K130" s="26">
        <f t="shared" si="36"/>
        <v>0</v>
      </c>
      <c r="L130" s="26">
        <f t="shared" si="36"/>
        <v>0</v>
      </c>
      <c r="M130" s="82"/>
      <c r="Y130" s="141"/>
    </row>
    <row r="131" spans="1:25" s="35" customFormat="1" ht="21.75" customHeight="1">
      <c r="A131" s="117"/>
      <c r="B131" s="99"/>
      <c r="C131" s="102"/>
      <c r="D131" s="136"/>
      <c r="E131" s="102"/>
      <c r="F131" s="16" t="s">
        <v>13</v>
      </c>
      <c r="G131" s="26">
        <f>H131+I131+J131+K131+L131</f>
        <v>851660</v>
      </c>
      <c r="H131" s="26">
        <v>0</v>
      </c>
      <c r="I131" s="26">
        <f>20320+351340+480000</f>
        <v>851660</v>
      </c>
      <c r="J131" s="26">
        <v>0</v>
      </c>
      <c r="K131" s="26">
        <v>0</v>
      </c>
      <c r="L131" s="26">
        <v>0</v>
      </c>
      <c r="M131" s="82"/>
      <c r="O131" s="36">
        <f>1759000+1400000+4507295+1195000</f>
        <v>8861295</v>
      </c>
      <c r="P131" s="36">
        <f>O131-N131</f>
        <v>8861295</v>
      </c>
      <c r="Y131" s="141"/>
    </row>
    <row r="132" spans="1:25" s="35" customFormat="1" ht="21.75" customHeight="1">
      <c r="A132" s="117"/>
      <c r="B132" s="99"/>
      <c r="C132" s="102"/>
      <c r="D132" s="136"/>
      <c r="E132" s="102"/>
      <c r="F132" s="16" t="s">
        <v>14</v>
      </c>
      <c r="G132" s="26">
        <f>H132+I132+J132+K132+L132</f>
        <v>405992.6</v>
      </c>
      <c r="H132" s="26">
        <v>0</v>
      </c>
      <c r="I132" s="26">
        <v>405992.6</v>
      </c>
      <c r="J132" s="26">
        <v>0</v>
      </c>
      <c r="K132" s="26">
        <v>0</v>
      </c>
      <c r="L132" s="26">
        <v>0</v>
      </c>
      <c r="M132" s="82"/>
      <c r="P132" s="36"/>
      <c r="Y132" s="141"/>
    </row>
    <row r="133" spans="1:25" s="35" customFormat="1" ht="21.75" customHeight="1">
      <c r="A133" s="118"/>
      <c r="B133" s="100"/>
      <c r="C133" s="106"/>
      <c r="D133" s="137"/>
      <c r="E133" s="106"/>
      <c r="F133" s="16" t="s">
        <v>15</v>
      </c>
      <c r="G133" s="26">
        <f>H133+I133+J133+K133+L133</f>
        <v>19893637.4</v>
      </c>
      <c r="H133" s="26">
        <v>0</v>
      </c>
      <c r="I133" s="26">
        <v>19893637.4</v>
      </c>
      <c r="J133" s="26">
        <v>0</v>
      </c>
      <c r="K133" s="26">
        <v>0</v>
      </c>
      <c r="L133" s="26">
        <v>0</v>
      </c>
      <c r="M133" s="82"/>
      <c r="N133" s="37"/>
      <c r="Y133" s="141"/>
    </row>
    <row r="134" spans="1:13" ht="21.75" customHeight="1">
      <c r="A134" s="116" t="s">
        <v>54</v>
      </c>
      <c r="B134" s="98" t="s">
        <v>166</v>
      </c>
      <c r="C134" s="101" t="s">
        <v>125</v>
      </c>
      <c r="D134" s="119" t="s">
        <v>129</v>
      </c>
      <c r="E134" s="101" t="s">
        <v>106</v>
      </c>
      <c r="F134" s="16" t="s">
        <v>12</v>
      </c>
      <c r="G134" s="26">
        <f aca="true" t="shared" si="37" ref="G134:L134">G135+G136+G137</f>
        <v>676415</v>
      </c>
      <c r="H134" s="26">
        <f t="shared" si="37"/>
        <v>0</v>
      </c>
      <c r="I134" s="26">
        <f t="shared" si="37"/>
        <v>676415</v>
      </c>
      <c r="J134" s="26">
        <f t="shared" si="37"/>
        <v>0</v>
      </c>
      <c r="K134" s="26">
        <f t="shared" si="37"/>
        <v>0</v>
      </c>
      <c r="L134" s="26">
        <f t="shared" si="37"/>
        <v>0</v>
      </c>
      <c r="M134" s="82"/>
    </row>
    <row r="135" spans="1:13" ht="21.75" customHeight="1">
      <c r="A135" s="117"/>
      <c r="B135" s="99"/>
      <c r="C135" s="102"/>
      <c r="D135" s="120"/>
      <c r="E135" s="102"/>
      <c r="F135" s="16" t="s">
        <v>13</v>
      </c>
      <c r="G135" s="26">
        <f>H135+I135+J135+K135+L135</f>
        <v>676415</v>
      </c>
      <c r="H135" s="26">
        <v>0</v>
      </c>
      <c r="I135" s="26">
        <v>676415</v>
      </c>
      <c r="J135" s="26">
        <v>0</v>
      </c>
      <c r="K135" s="26">
        <v>0</v>
      </c>
      <c r="L135" s="26">
        <v>0</v>
      </c>
      <c r="M135" s="82"/>
    </row>
    <row r="136" spans="1:13" ht="21.75" customHeight="1">
      <c r="A136" s="117"/>
      <c r="B136" s="99"/>
      <c r="C136" s="102"/>
      <c r="D136" s="120"/>
      <c r="E136" s="102"/>
      <c r="F136" s="16" t="s">
        <v>14</v>
      </c>
      <c r="G136" s="26">
        <f>H136+I136+J136+K136+L136</f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82"/>
    </row>
    <row r="137" spans="1:13" ht="21.75" customHeight="1">
      <c r="A137" s="118"/>
      <c r="B137" s="100"/>
      <c r="C137" s="102"/>
      <c r="D137" s="121"/>
      <c r="E137" s="106"/>
      <c r="F137" s="16" t="s">
        <v>15</v>
      </c>
      <c r="G137" s="26">
        <f>H137+I137+J137+K137+L137</f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122"/>
    </row>
    <row r="138" spans="1:13" ht="21.75" customHeight="1">
      <c r="A138" s="116" t="s">
        <v>84</v>
      </c>
      <c r="B138" s="98" t="s">
        <v>53</v>
      </c>
      <c r="C138" s="101" t="s">
        <v>125</v>
      </c>
      <c r="D138" s="119" t="s">
        <v>131</v>
      </c>
      <c r="E138" s="101" t="s">
        <v>106</v>
      </c>
      <c r="F138" s="16" t="s">
        <v>12</v>
      </c>
      <c r="G138" s="26">
        <f aca="true" t="shared" si="38" ref="G138:L138">G139+G140+G141</f>
        <v>3700622.2800000003</v>
      </c>
      <c r="H138" s="26">
        <f t="shared" si="38"/>
        <v>547300</v>
      </c>
      <c r="I138" s="26">
        <f t="shared" si="38"/>
        <v>708294.28</v>
      </c>
      <c r="J138" s="26">
        <f t="shared" si="38"/>
        <v>783340</v>
      </c>
      <c r="K138" s="26">
        <f t="shared" si="38"/>
        <v>814538</v>
      </c>
      <c r="L138" s="26">
        <f t="shared" si="38"/>
        <v>847150</v>
      </c>
      <c r="M138" s="81" t="s">
        <v>120</v>
      </c>
    </row>
    <row r="139" spans="1:13" ht="21.75" customHeight="1">
      <c r="A139" s="117"/>
      <c r="B139" s="99"/>
      <c r="C139" s="102"/>
      <c r="D139" s="120"/>
      <c r="E139" s="102"/>
      <c r="F139" s="16" t="s">
        <v>13</v>
      </c>
      <c r="G139" s="26">
        <f>H139+I139+J139+K139+L139</f>
        <v>2528402.2800000003</v>
      </c>
      <c r="H139" s="26">
        <v>408000</v>
      </c>
      <c r="I139" s="26">
        <f>433440+44154.28</f>
        <v>477594.28</v>
      </c>
      <c r="J139" s="26">
        <v>526320</v>
      </c>
      <c r="K139" s="26">
        <v>547288</v>
      </c>
      <c r="L139" s="26">
        <v>569200</v>
      </c>
      <c r="M139" s="82"/>
    </row>
    <row r="140" spans="1:13" ht="21.75" customHeight="1">
      <c r="A140" s="117"/>
      <c r="B140" s="99"/>
      <c r="C140" s="102"/>
      <c r="D140" s="120"/>
      <c r="E140" s="102"/>
      <c r="F140" s="16" t="s">
        <v>14</v>
      </c>
      <c r="G140" s="26">
        <f>H140+I140+J140+K140+L140</f>
        <v>1172220</v>
      </c>
      <c r="H140" s="26">
        <v>139300</v>
      </c>
      <c r="I140" s="26">
        <v>230700</v>
      </c>
      <c r="J140" s="26">
        <v>257020</v>
      </c>
      <c r="K140" s="26">
        <v>267250</v>
      </c>
      <c r="L140" s="26">
        <v>277950</v>
      </c>
      <c r="M140" s="82"/>
    </row>
    <row r="141" spans="1:13" ht="21.75" customHeight="1">
      <c r="A141" s="118"/>
      <c r="B141" s="100"/>
      <c r="C141" s="102"/>
      <c r="D141" s="121"/>
      <c r="E141" s="106"/>
      <c r="F141" s="16" t="s">
        <v>15</v>
      </c>
      <c r="G141" s="26">
        <f>H141+I141+J141+K141+L141</f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122"/>
    </row>
    <row r="142" spans="1:13" ht="21.75" customHeight="1">
      <c r="A142" s="116" t="s">
        <v>158</v>
      </c>
      <c r="B142" s="98" t="s">
        <v>88</v>
      </c>
      <c r="C142" s="101" t="s">
        <v>125</v>
      </c>
      <c r="D142" s="119" t="s">
        <v>139</v>
      </c>
      <c r="E142" s="101" t="s">
        <v>106</v>
      </c>
      <c r="F142" s="16" t="s">
        <v>12</v>
      </c>
      <c r="G142" s="26">
        <f aca="true" t="shared" si="39" ref="G142:L142">G143+G144+G145</f>
        <v>7318184.9</v>
      </c>
      <c r="H142" s="26">
        <f t="shared" si="39"/>
        <v>104312.9</v>
      </c>
      <c r="I142" s="26">
        <f t="shared" si="39"/>
        <v>1803468</v>
      </c>
      <c r="J142" s="26">
        <f t="shared" si="39"/>
        <v>1803468</v>
      </c>
      <c r="K142" s="26">
        <f t="shared" si="39"/>
        <v>1803468</v>
      </c>
      <c r="L142" s="26">
        <f t="shared" si="39"/>
        <v>1803468</v>
      </c>
      <c r="M142" s="81" t="s">
        <v>172</v>
      </c>
    </row>
    <row r="143" spans="1:14" ht="21.75" customHeight="1">
      <c r="A143" s="117"/>
      <c r="B143" s="99"/>
      <c r="C143" s="102"/>
      <c r="D143" s="120"/>
      <c r="E143" s="102"/>
      <c r="F143" s="16" t="s">
        <v>13</v>
      </c>
      <c r="G143" s="26">
        <f>H143+I143+J143+K143+L143</f>
        <v>3711248.9</v>
      </c>
      <c r="H143" s="26">
        <v>104312.9</v>
      </c>
      <c r="I143" s="26">
        <f>500000+401734</f>
        <v>901734</v>
      </c>
      <c r="J143" s="26">
        <v>901734</v>
      </c>
      <c r="K143" s="26">
        <v>901734</v>
      </c>
      <c r="L143" s="26">
        <v>901734</v>
      </c>
      <c r="M143" s="82"/>
      <c r="N143" s="13"/>
    </row>
    <row r="144" spans="1:13" ht="21.75" customHeight="1">
      <c r="A144" s="117"/>
      <c r="B144" s="99"/>
      <c r="C144" s="102"/>
      <c r="D144" s="120"/>
      <c r="E144" s="102"/>
      <c r="F144" s="16" t="s">
        <v>14</v>
      </c>
      <c r="G144" s="26">
        <f>H144+I144+J144+K144+L144</f>
        <v>3606936</v>
      </c>
      <c r="H144" s="26"/>
      <c r="I144" s="26">
        <v>901734</v>
      </c>
      <c r="J144" s="26">
        <v>901734</v>
      </c>
      <c r="K144" s="26">
        <v>901734</v>
      </c>
      <c r="L144" s="26">
        <v>901734</v>
      </c>
      <c r="M144" s="82"/>
    </row>
    <row r="145" spans="1:13" ht="21.75" customHeight="1">
      <c r="A145" s="118"/>
      <c r="B145" s="100"/>
      <c r="C145" s="102"/>
      <c r="D145" s="121"/>
      <c r="E145" s="106"/>
      <c r="F145" s="16" t="s">
        <v>15</v>
      </c>
      <c r="G145" s="26">
        <f>H145+I145+J145+K145+L145</f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122"/>
    </row>
    <row r="146" spans="1:13" ht="21.75" customHeight="1">
      <c r="A146" s="116" t="s">
        <v>164</v>
      </c>
      <c r="B146" s="98" t="s">
        <v>163</v>
      </c>
      <c r="C146" s="101" t="s">
        <v>125</v>
      </c>
      <c r="D146" s="119" t="s">
        <v>139</v>
      </c>
      <c r="E146" s="101" t="s">
        <v>106</v>
      </c>
      <c r="F146" s="16" t="s">
        <v>12</v>
      </c>
      <c r="G146" s="26">
        <f aca="true" t="shared" si="40" ref="G146:L146">G147+G148+G149</f>
        <v>6501327.970000001</v>
      </c>
      <c r="H146" s="26">
        <f t="shared" si="40"/>
        <v>2568957</v>
      </c>
      <c r="I146" s="26">
        <f t="shared" si="40"/>
        <v>1360722.97</v>
      </c>
      <c r="J146" s="26">
        <f t="shared" si="40"/>
        <v>857216</v>
      </c>
      <c r="K146" s="26">
        <f t="shared" si="40"/>
        <v>857216</v>
      </c>
      <c r="L146" s="26">
        <f t="shared" si="40"/>
        <v>857216</v>
      </c>
      <c r="M146" s="81" t="s">
        <v>165</v>
      </c>
    </row>
    <row r="147" spans="1:14" ht="21.75" customHeight="1">
      <c r="A147" s="117"/>
      <c r="B147" s="99"/>
      <c r="C147" s="102"/>
      <c r="D147" s="120"/>
      <c r="E147" s="102"/>
      <c r="F147" s="16" t="s">
        <v>13</v>
      </c>
      <c r="G147" s="26">
        <f>H147+I147+J147+K147+L147</f>
        <v>2300398.99</v>
      </c>
      <c r="H147" s="26">
        <v>770687.1</v>
      </c>
      <c r="I147" s="26">
        <f>670000-411783.11+500000</f>
        <v>758216.89</v>
      </c>
      <c r="J147" s="26">
        <v>257165</v>
      </c>
      <c r="K147" s="26">
        <v>257165</v>
      </c>
      <c r="L147" s="26">
        <v>257165</v>
      </c>
      <c r="M147" s="82"/>
      <c r="N147" s="13"/>
    </row>
    <row r="148" spans="1:13" ht="21.75" customHeight="1">
      <c r="A148" s="117"/>
      <c r="B148" s="99"/>
      <c r="C148" s="102"/>
      <c r="D148" s="120"/>
      <c r="E148" s="102"/>
      <c r="F148" s="16" t="s">
        <v>14</v>
      </c>
      <c r="G148" s="26">
        <f>H148+I148+J148+K148+L148</f>
        <v>4200928.98</v>
      </c>
      <c r="H148" s="26">
        <v>1798269.9</v>
      </c>
      <c r="I148" s="26">
        <v>602506.08</v>
      </c>
      <c r="J148" s="26">
        <v>600051</v>
      </c>
      <c r="K148" s="26">
        <v>600051</v>
      </c>
      <c r="L148" s="26">
        <v>600051</v>
      </c>
      <c r="M148" s="82"/>
    </row>
    <row r="149" spans="1:13" ht="21.75" customHeight="1">
      <c r="A149" s="118"/>
      <c r="B149" s="100"/>
      <c r="C149" s="102"/>
      <c r="D149" s="121"/>
      <c r="E149" s="106"/>
      <c r="F149" s="16" t="s">
        <v>15</v>
      </c>
      <c r="G149" s="26">
        <f>H149+I149+J149+K149+L149</f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122"/>
    </row>
    <row r="150" spans="1:13" ht="21.75" customHeight="1">
      <c r="A150" s="64"/>
      <c r="B150" s="98" t="s">
        <v>90</v>
      </c>
      <c r="C150" s="101" t="s">
        <v>125</v>
      </c>
      <c r="D150" s="135" t="s">
        <v>156</v>
      </c>
      <c r="E150" s="101" t="s">
        <v>106</v>
      </c>
      <c r="F150" s="16" t="s">
        <v>12</v>
      </c>
      <c r="G150" s="26">
        <f>G151+G152+G153</f>
        <v>227000</v>
      </c>
      <c r="H150" s="26">
        <v>0</v>
      </c>
      <c r="I150" s="26">
        <f>I151+I152+I153</f>
        <v>0</v>
      </c>
      <c r="J150" s="26">
        <f>J151+J152+J153</f>
        <v>0</v>
      </c>
      <c r="K150" s="26">
        <v>0</v>
      </c>
      <c r="L150" s="26">
        <f>L151+L152+L153</f>
        <v>0</v>
      </c>
      <c r="M150" s="81" t="s">
        <v>171</v>
      </c>
    </row>
    <row r="151" spans="1:13" ht="21.75" customHeight="1">
      <c r="A151" s="64" t="s">
        <v>167</v>
      </c>
      <c r="B151" s="99"/>
      <c r="C151" s="102"/>
      <c r="D151" s="136"/>
      <c r="E151" s="102"/>
      <c r="F151" s="16" t="s">
        <v>13</v>
      </c>
      <c r="G151" s="26">
        <f>H151+I151+J151+K151+L151</f>
        <v>227000</v>
      </c>
      <c r="H151" s="26">
        <v>227000</v>
      </c>
      <c r="I151" s="26">
        <v>0</v>
      </c>
      <c r="J151" s="26">
        <v>0</v>
      </c>
      <c r="K151" s="26">
        <v>0</v>
      </c>
      <c r="L151" s="26">
        <v>0</v>
      </c>
      <c r="M151" s="82"/>
    </row>
    <row r="152" spans="1:13" ht="21.75" customHeight="1">
      <c r="A152" s="64"/>
      <c r="B152" s="99"/>
      <c r="C152" s="102"/>
      <c r="D152" s="136"/>
      <c r="E152" s="102"/>
      <c r="F152" s="16" t="s">
        <v>14</v>
      </c>
      <c r="G152" s="26">
        <f>H152+I152+J152+K152+L152</f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82"/>
    </row>
    <row r="153" spans="1:13" ht="21.75" customHeight="1">
      <c r="A153" s="64"/>
      <c r="B153" s="100"/>
      <c r="C153" s="102"/>
      <c r="D153" s="137"/>
      <c r="E153" s="106"/>
      <c r="F153" s="16" t="s">
        <v>15</v>
      </c>
      <c r="G153" s="26">
        <f>H153+I153+J153+K153+L153</f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82"/>
    </row>
    <row r="154" spans="1:13" ht="21.75" customHeight="1">
      <c r="A154" s="116" t="s">
        <v>168</v>
      </c>
      <c r="B154" s="98" t="s">
        <v>157</v>
      </c>
      <c r="C154" s="101" t="s">
        <v>125</v>
      </c>
      <c r="D154" s="103" t="s">
        <v>135</v>
      </c>
      <c r="E154" s="101" t="s">
        <v>106</v>
      </c>
      <c r="F154" s="16" t="s">
        <v>12</v>
      </c>
      <c r="G154" s="26">
        <f aca="true" t="shared" si="41" ref="G154:L154">G155+G156+G157</f>
        <v>77982074.95</v>
      </c>
      <c r="H154" s="26">
        <f t="shared" si="41"/>
        <v>8281288.9</v>
      </c>
      <c r="I154" s="26">
        <f t="shared" si="41"/>
        <v>16181140.54</v>
      </c>
      <c r="J154" s="26">
        <f t="shared" si="41"/>
        <v>18082205.8</v>
      </c>
      <c r="K154" s="26">
        <f t="shared" si="41"/>
        <v>17537287.4</v>
      </c>
      <c r="L154" s="26">
        <f t="shared" si="41"/>
        <v>17900152.31</v>
      </c>
      <c r="M154" s="81" t="s">
        <v>161</v>
      </c>
    </row>
    <row r="155" spans="1:13" ht="21.75" customHeight="1">
      <c r="A155" s="117"/>
      <c r="B155" s="99"/>
      <c r="C155" s="102"/>
      <c r="D155" s="104"/>
      <c r="E155" s="102"/>
      <c r="F155" s="16" t="s">
        <v>13</v>
      </c>
      <c r="G155" s="26">
        <f>H155+I155+J155+K155+L155</f>
        <v>78017.76000000001</v>
      </c>
      <c r="H155" s="26">
        <v>8281.29</v>
      </c>
      <c r="I155" s="26">
        <v>16181.139999999996</v>
      </c>
      <c r="J155" s="26">
        <f>17660.82+421.39</f>
        <v>18082.21</v>
      </c>
      <c r="K155" s="26">
        <v>17537.33</v>
      </c>
      <c r="L155" s="26">
        <v>17935.79</v>
      </c>
      <c r="M155" s="82"/>
    </row>
    <row r="156" spans="1:13" ht="21.75" customHeight="1">
      <c r="A156" s="117"/>
      <c r="B156" s="99"/>
      <c r="C156" s="102"/>
      <c r="D156" s="104"/>
      <c r="E156" s="102"/>
      <c r="F156" s="16" t="s">
        <v>14</v>
      </c>
      <c r="G156" s="26">
        <f>H156+I156+J156+K156+L156</f>
        <v>8836957.190000001</v>
      </c>
      <c r="H156" s="26">
        <f>1873906.61+1</f>
        <v>1873907.61</v>
      </c>
      <c r="I156" s="26">
        <v>1616459.4000000001</v>
      </c>
      <c r="J156" s="26">
        <v>1806423.59</v>
      </c>
      <c r="K156" s="26">
        <v>1751950.07</v>
      </c>
      <c r="L156" s="26">
        <v>1788216.52</v>
      </c>
      <c r="M156" s="82"/>
    </row>
    <row r="157" spans="1:13" ht="21.75" customHeight="1">
      <c r="A157" s="118"/>
      <c r="B157" s="100"/>
      <c r="C157" s="102"/>
      <c r="D157" s="105"/>
      <c r="E157" s="106"/>
      <c r="F157" s="16" t="s">
        <v>15</v>
      </c>
      <c r="G157" s="26">
        <f>H157+I157+J157+K157+L157</f>
        <v>69067100</v>
      </c>
      <c r="H157" s="26">
        <v>6399100</v>
      </c>
      <c r="I157" s="26">
        <v>14548499.999999998</v>
      </c>
      <c r="J157" s="26">
        <v>16257700</v>
      </c>
      <c r="K157" s="26">
        <v>15767800</v>
      </c>
      <c r="L157" s="26">
        <v>16094000</v>
      </c>
      <c r="M157" s="122"/>
    </row>
    <row r="158" spans="1:13" ht="21.75" customHeight="1">
      <c r="A158" s="116" t="s">
        <v>178</v>
      </c>
      <c r="B158" s="98" t="s">
        <v>180</v>
      </c>
      <c r="C158" s="101" t="s">
        <v>125</v>
      </c>
      <c r="D158" s="103" t="s">
        <v>135</v>
      </c>
      <c r="E158" s="101" t="s">
        <v>106</v>
      </c>
      <c r="F158" s="16" t="s">
        <v>12</v>
      </c>
      <c r="G158" s="26">
        <f aca="true" t="shared" si="42" ref="G158:L158">G159+G160+G161</f>
        <v>12592973</v>
      </c>
      <c r="H158" s="26">
        <f t="shared" si="42"/>
        <v>0</v>
      </c>
      <c r="I158" s="26">
        <f t="shared" si="42"/>
        <v>0</v>
      </c>
      <c r="J158" s="26">
        <f t="shared" si="42"/>
        <v>4243923</v>
      </c>
      <c r="K158" s="26">
        <f t="shared" si="42"/>
        <v>4174525</v>
      </c>
      <c r="L158" s="26">
        <f t="shared" si="42"/>
        <v>4174525</v>
      </c>
      <c r="M158" s="81" t="s">
        <v>188</v>
      </c>
    </row>
    <row r="159" spans="1:13" ht="21.75" customHeight="1">
      <c r="A159" s="117"/>
      <c r="B159" s="99"/>
      <c r="C159" s="102"/>
      <c r="D159" s="104"/>
      <c r="E159" s="102"/>
      <c r="F159" s="16" t="s">
        <v>13</v>
      </c>
      <c r="G159" s="26">
        <f>H159+I159+J159+K159+L159</f>
        <v>12592973</v>
      </c>
      <c r="H159" s="26"/>
      <c r="I159" s="26"/>
      <c r="J159" s="26">
        <v>4243923</v>
      </c>
      <c r="K159" s="26">
        <v>4174525</v>
      </c>
      <c r="L159" s="26">
        <v>4174525</v>
      </c>
      <c r="M159" s="82"/>
    </row>
    <row r="160" spans="1:13" ht="21.75" customHeight="1">
      <c r="A160" s="117"/>
      <c r="B160" s="99"/>
      <c r="C160" s="102"/>
      <c r="D160" s="104"/>
      <c r="E160" s="102"/>
      <c r="F160" s="16" t="s">
        <v>14</v>
      </c>
      <c r="G160" s="26">
        <f>H160+I160+J160+K160+L160</f>
        <v>0</v>
      </c>
      <c r="H160" s="26"/>
      <c r="I160" s="26"/>
      <c r="J160" s="26">
        <v>0</v>
      </c>
      <c r="K160" s="26">
        <v>0</v>
      </c>
      <c r="L160" s="26">
        <v>0</v>
      </c>
      <c r="M160" s="82"/>
    </row>
    <row r="161" spans="1:13" ht="21.75" customHeight="1">
      <c r="A161" s="118"/>
      <c r="B161" s="100"/>
      <c r="C161" s="102"/>
      <c r="D161" s="105"/>
      <c r="E161" s="106"/>
      <c r="F161" s="16" t="s">
        <v>15</v>
      </c>
      <c r="G161" s="26">
        <f>H161+I161+J161+K161+L161</f>
        <v>0</v>
      </c>
      <c r="H161" s="26"/>
      <c r="I161" s="26"/>
      <c r="J161" s="26">
        <v>0</v>
      </c>
      <c r="K161" s="26">
        <v>0</v>
      </c>
      <c r="L161" s="26">
        <v>0</v>
      </c>
      <c r="M161" s="122"/>
    </row>
    <row r="162" spans="1:13" ht="21.75" customHeight="1">
      <c r="A162" s="116" t="s">
        <v>179</v>
      </c>
      <c r="B162" s="98" t="s">
        <v>181</v>
      </c>
      <c r="C162" s="101" t="s">
        <v>125</v>
      </c>
      <c r="D162" s="103" t="s">
        <v>135</v>
      </c>
      <c r="E162" s="101" t="s">
        <v>106</v>
      </c>
      <c r="F162" s="16" t="s">
        <v>12</v>
      </c>
      <c r="G162" s="26">
        <f aca="true" t="shared" si="43" ref="G162:L162">G163+G164+G165</f>
        <v>6402467</v>
      </c>
      <c r="H162" s="26">
        <f t="shared" si="43"/>
        <v>0</v>
      </c>
      <c r="I162" s="26">
        <f t="shared" si="43"/>
        <v>0</v>
      </c>
      <c r="J162" s="26">
        <f t="shared" si="43"/>
        <v>1630221</v>
      </c>
      <c r="K162" s="26">
        <f t="shared" si="43"/>
        <v>2386123</v>
      </c>
      <c r="L162" s="26">
        <f t="shared" si="43"/>
        <v>2386123</v>
      </c>
      <c r="M162" s="81" t="s">
        <v>184</v>
      </c>
    </row>
    <row r="163" spans="1:13" ht="21.75" customHeight="1">
      <c r="A163" s="117"/>
      <c r="B163" s="99"/>
      <c r="C163" s="102"/>
      <c r="D163" s="104"/>
      <c r="E163" s="102"/>
      <c r="F163" s="16" t="s">
        <v>13</v>
      </c>
      <c r="G163" s="26">
        <f>H163+I163+J163+K163+L163</f>
        <v>6402467</v>
      </c>
      <c r="H163" s="26"/>
      <c r="I163" s="26"/>
      <c r="J163" s="26">
        <v>1630221</v>
      </c>
      <c r="K163" s="26">
        <v>2386123</v>
      </c>
      <c r="L163" s="26">
        <v>2386123</v>
      </c>
      <c r="M163" s="82"/>
    </row>
    <row r="164" spans="1:13" ht="21.75" customHeight="1">
      <c r="A164" s="117"/>
      <c r="B164" s="99"/>
      <c r="C164" s="102"/>
      <c r="D164" s="104"/>
      <c r="E164" s="102"/>
      <c r="F164" s="16" t="s">
        <v>14</v>
      </c>
      <c r="G164" s="26">
        <f>H164+I164+J164+K164+L164</f>
        <v>0</v>
      </c>
      <c r="H164" s="26"/>
      <c r="I164" s="26"/>
      <c r="J164" s="26">
        <v>0</v>
      </c>
      <c r="K164" s="26">
        <v>0</v>
      </c>
      <c r="L164" s="26">
        <v>0</v>
      </c>
      <c r="M164" s="82"/>
    </row>
    <row r="165" spans="1:13" ht="21.75" customHeight="1">
      <c r="A165" s="118"/>
      <c r="B165" s="100"/>
      <c r="C165" s="102"/>
      <c r="D165" s="105"/>
      <c r="E165" s="106"/>
      <c r="F165" s="16" t="s">
        <v>15</v>
      </c>
      <c r="G165" s="26">
        <f>H165+I165+J165+K165+L165</f>
        <v>0</v>
      </c>
      <c r="H165" s="26"/>
      <c r="I165" s="26"/>
      <c r="J165" s="26">
        <v>0</v>
      </c>
      <c r="K165" s="26">
        <v>0</v>
      </c>
      <c r="L165" s="26">
        <v>0</v>
      </c>
      <c r="M165" s="122"/>
    </row>
    <row r="166" spans="1:13" ht="22.5" customHeight="1">
      <c r="A166" s="107" t="s">
        <v>55</v>
      </c>
      <c r="B166" s="110" t="s">
        <v>147</v>
      </c>
      <c r="C166" s="113" t="s">
        <v>125</v>
      </c>
      <c r="D166" s="134" t="s">
        <v>122</v>
      </c>
      <c r="E166" s="113" t="s">
        <v>106</v>
      </c>
      <c r="F166" s="39" t="s">
        <v>12</v>
      </c>
      <c r="G166" s="40">
        <f aca="true" t="shared" si="44" ref="G166:L166">G167+G168+G169</f>
        <v>263920377</v>
      </c>
      <c r="H166" s="40">
        <f>H167+H168+H169</f>
        <v>21453187.27</v>
      </c>
      <c r="I166" s="40">
        <f>I167+I168+I169</f>
        <v>27523645.13</v>
      </c>
      <c r="J166" s="40">
        <f>J167+J168+J169</f>
        <v>154961759.11</v>
      </c>
      <c r="K166" s="40">
        <f t="shared" si="44"/>
        <v>47955839.49</v>
      </c>
      <c r="L166" s="40">
        <f t="shared" si="44"/>
        <v>12025946</v>
      </c>
      <c r="M166" s="126"/>
    </row>
    <row r="167" spans="1:13" ht="22.5" customHeight="1">
      <c r="A167" s="108"/>
      <c r="B167" s="111"/>
      <c r="C167" s="114"/>
      <c r="D167" s="139"/>
      <c r="E167" s="114"/>
      <c r="F167" s="39" t="s">
        <v>13</v>
      </c>
      <c r="G167" s="40">
        <f>H167+I167+J167+K167+L167</f>
        <v>58326029.7</v>
      </c>
      <c r="H167" s="40">
        <f>H171+H179+H183+H187+H191+H199+H203+H195+H175</f>
        <v>9911340.129999999</v>
      </c>
      <c r="I167" s="40">
        <f>I171+I179+I183+I187+I191+I199+I203+I195+I175</f>
        <v>12393058.969999999</v>
      </c>
      <c r="J167" s="40">
        <f>J171+J179+J183+J187+J191+J199+J203+J195+J175</f>
        <v>13413072.44</v>
      </c>
      <c r="K167" s="40">
        <f>K171+K179+K183+K187+K191+K199+K203+K195+K175</f>
        <v>10582612.16</v>
      </c>
      <c r="L167" s="40">
        <f>L171+L179+L183+L187+L191+L199+L203+L195+L175</f>
        <v>12025946</v>
      </c>
      <c r="M167" s="127"/>
    </row>
    <row r="168" spans="1:13" ht="22.5" customHeight="1">
      <c r="A168" s="108"/>
      <c r="B168" s="111"/>
      <c r="C168" s="114"/>
      <c r="D168" s="139"/>
      <c r="E168" s="114"/>
      <c r="F168" s="39" t="s">
        <v>14</v>
      </c>
      <c r="G168" s="40">
        <f>H168+I168+J168+K168+L168</f>
        <v>61879029.3</v>
      </c>
      <c r="H168" s="40">
        <f aca="true" t="shared" si="45" ref="H168:L169">H172+H180+H184+H188+H192+H200+H204+H196+H176</f>
        <v>11541847.14</v>
      </c>
      <c r="I168" s="40">
        <f t="shared" si="45"/>
        <v>15130586.16</v>
      </c>
      <c r="J168" s="40">
        <f t="shared" si="45"/>
        <v>14154868.67</v>
      </c>
      <c r="K168" s="40">
        <f t="shared" si="45"/>
        <v>21051727.330000002</v>
      </c>
      <c r="L168" s="40">
        <f t="shared" si="45"/>
        <v>0</v>
      </c>
      <c r="M168" s="127"/>
    </row>
    <row r="169" spans="1:26" ht="22.5" customHeight="1">
      <c r="A169" s="109"/>
      <c r="B169" s="112"/>
      <c r="C169" s="115"/>
      <c r="D169" s="140"/>
      <c r="E169" s="115"/>
      <c r="F169" s="39" t="s">
        <v>15</v>
      </c>
      <c r="G169" s="40">
        <f>H169+I169+J169+K169+L169</f>
        <v>143715318</v>
      </c>
      <c r="H169" s="40">
        <f t="shared" si="45"/>
        <v>0</v>
      </c>
      <c r="I169" s="40">
        <f t="shared" si="45"/>
        <v>0</v>
      </c>
      <c r="J169" s="40">
        <f t="shared" si="45"/>
        <v>127393818</v>
      </c>
      <c r="K169" s="40">
        <f t="shared" si="45"/>
        <v>16321500</v>
      </c>
      <c r="L169" s="40">
        <f t="shared" si="45"/>
        <v>0</v>
      </c>
      <c r="M169" s="128"/>
      <c r="Y169" s="138" t="s">
        <v>87</v>
      </c>
      <c r="Z169" s="3"/>
    </row>
    <row r="170" spans="1:25" ht="21.75" customHeight="1">
      <c r="A170" s="116" t="s">
        <v>56</v>
      </c>
      <c r="B170" s="98" t="s">
        <v>77</v>
      </c>
      <c r="C170" s="101" t="s">
        <v>125</v>
      </c>
      <c r="D170" s="103" t="s">
        <v>138</v>
      </c>
      <c r="E170" s="101" t="s">
        <v>106</v>
      </c>
      <c r="F170" s="16" t="s">
        <v>12</v>
      </c>
      <c r="G170" s="26">
        <f aca="true" t="shared" si="46" ref="G170:L170">G171+G172+G173</f>
        <v>57051172.39999999</v>
      </c>
      <c r="H170" s="26">
        <f t="shared" si="46"/>
        <v>14048396.27</v>
      </c>
      <c r="I170" s="26">
        <f t="shared" si="46"/>
        <v>23290645.13</v>
      </c>
      <c r="J170" s="26">
        <f t="shared" si="46"/>
        <v>8552621</v>
      </c>
      <c r="K170" s="26">
        <f t="shared" si="46"/>
        <v>3851130</v>
      </c>
      <c r="L170" s="26">
        <f t="shared" si="46"/>
        <v>7308380</v>
      </c>
      <c r="M170" s="82" t="s">
        <v>151</v>
      </c>
      <c r="Y170" s="138"/>
    </row>
    <row r="171" spans="1:25" ht="21.75" customHeight="1">
      <c r="A171" s="117"/>
      <c r="B171" s="99"/>
      <c r="C171" s="102"/>
      <c r="D171" s="104"/>
      <c r="E171" s="102"/>
      <c r="F171" s="16" t="s">
        <v>13</v>
      </c>
      <c r="G171" s="26">
        <f>H171+I171+J171+K171+L171</f>
        <v>33849793.099999994</v>
      </c>
      <c r="H171" s="26">
        <f>4000000-H127-H107+334873.66+53210+571000.3+10000+159070+599000+565000-21070.83</f>
        <v>4977603.13</v>
      </c>
      <c r="I171" s="26">
        <f>7673601.18+600000+400000-13542.21+500000</f>
        <v>9160058.969999999</v>
      </c>
      <c r="J171" s="26">
        <f>525000+1263497+500000+3764124+1500000+500000+500000</f>
        <v>8552621</v>
      </c>
      <c r="K171" s="26">
        <f>975565+1375565+1000000+500000</f>
        <v>3851130</v>
      </c>
      <c r="L171" s="26">
        <f>1975565+2375565+1457250+1000000+500000</f>
        <v>7308380</v>
      </c>
      <c r="M171" s="82"/>
      <c r="O171" s="3">
        <f>1759000+1400000+4507295+1195000</f>
        <v>8861295</v>
      </c>
      <c r="P171" s="3">
        <f>O171-N171</f>
        <v>8861295</v>
      </c>
      <c r="Y171" s="138"/>
    </row>
    <row r="172" spans="1:25" ht="21.75" customHeight="1">
      <c r="A172" s="117"/>
      <c r="B172" s="99"/>
      <c r="C172" s="102"/>
      <c r="D172" s="104"/>
      <c r="E172" s="102"/>
      <c r="F172" s="16" t="s">
        <v>14</v>
      </c>
      <c r="G172" s="26">
        <f>H172+I172+J172+K172+L172</f>
        <v>23201379.3</v>
      </c>
      <c r="H172" s="26">
        <f>3714220.8+5356572.34</f>
        <v>9070793.14</v>
      </c>
      <c r="I172" s="26">
        <v>14130586.16</v>
      </c>
      <c r="J172" s="26">
        <v>0</v>
      </c>
      <c r="K172" s="26">
        <v>0</v>
      </c>
      <c r="L172" s="26">
        <v>0</v>
      </c>
      <c r="M172" s="82"/>
      <c r="P172" s="3"/>
      <c r="Y172" s="138"/>
    </row>
    <row r="173" spans="1:25" ht="21.75" customHeight="1">
      <c r="A173" s="118"/>
      <c r="B173" s="100"/>
      <c r="C173" s="102"/>
      <c r="D173" s="105"/>
      <c r="E173" s="106"/>
      <c r="F173" s="16" t="s">
        <v>15</v>
      </c>
      <c r="G173" s="26">
        <f>H173+I173+J173+K173+L173</f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82"/>
      <c r="N173" s="14"/>
      <c r="Y173" s="138"/>
    </row>
    <row r="174" spans="1:25" ht="21.75" customHeight="1">
      <c r="A174" s="116" t="s">
        <v>57</v>
      </c>
      <c r="B174" s="98" t="s">
        <v>194</v>
      </c>
      <c r="C174" s="101" t="s">
        <v>125</v>
      </c>
      <c r="D174" s="103" t="s">
        <v>138</v>
      </c>
      <c r="E174" s="101" t="s">
        <v>106</v>
      </c>
      <c r="F174" s="16" t="s">
        <v>12</v>
      </c>
      <c r="G174" s="26">
        <f aca="true" t="shared" si="47" ref="G174:L174">G175+G176+G177</f>
        <v>181978715.6</v>
      </c>
      <c r="H174" s="26">
        <f t="shared" si="47"/>
        <v>0</v>
      </c>
      <c r="I174" s="26">
        <f t="shared" si="47"/>
        <v>0</v>
      </c>
      <c r="J174" s="26">
        <f t="shared" si="47"/>
        <v>142891572.11</v>
      </c>
      <c r="K174" s="26">
        <f t="shared" si="47"/>
        <v>39087143.49</v>
      </c>
      <c r="L174" s="26">
        <f t="shared" si="47"/>
        <v>0</v>
      </c>
      <c r="M174" s="82"/>
      <c r="Y174" s="138"/>
    </row>
    <row r="175" spans="1:25" ht="21.75" customHeight="1">
      <c r="A175" s="117"/>
      <c r="B175" s="99"/>
      <c r="C175" s="102"/>
      <c r="D175" s="104"/>
      <c r="E175" s="102"/>
      <c r="F175" s="16" t="s">
        <v>13</v>
      </c>
      <c r="G175" s="26">
        <f>H175+I175+J175+K175+L175</f>
        <v>3056801.5999999996</v>
      </c>
      <c r="H175" s="26">
        <v>0</v>
      </c>
      <c r="I175" s="26">
        <v>0</v>
      </c>
      <c r="J175" s="26">
        <f>718810.2+624075.24</f>
        <v>1342885.44</v>
      </c>
      <c r="K175" s="26">
        <v>1713916.16</v>
      </c>
      <c r="L175" s="26">
        <v>0</v>
      </c>
      <c r="M175" s="82"/>
      <c r="O175" s="3">
        <f>1759000+1400000+4507295+1195000</f>
        <v>8861295</v>
      </c>
      <c r="P175" s="3">
        <f>O175-N175</f>
        <v>8861295</v>
      </c>
      <c r="Y175" s="138"/>
    </row>
    <row r="176" spans="1:25" ht="21.75" customHeight="1">
      <c r="A176" s="117"/>
      <c r="B176" s="99"/>
      <c r="C176" s="102"/>
      <c r="D176" s="104"/>
      <c r="E176" s="102"/>
      <c r="F176" s="16" t="s">
        <v>14</v>
      </c>
      <c r="G176" s="26">
        <f>H176+I176+J176+K176+L176</f>
        <v>35206596</v>
      </c>
      <c r="H176" s="26">
        <v>0</v>
      </c>
      <c r="I176" s="26">
        <v>0</v>
      </c>
      <c r="J176" s="26">
        <f>'[5]Лист1'!$I$6</f>
        <v>14154868.67</v>
      </c>
      <c r="K176" s="26">
        <f>'[5]Лист1'!$J$5+'[5]Лист1'!$J$10</f>
        <v>21051727.330000002</v>
      </c>
      <c r="L176" s="26">
        <v>0</v>
      </c>
      <c r="M176" s="82"/>
      <c r="P176" s="3"/>
      <c r="Y176" s="138"/>
    </row>
    <row r="177" spans="1:25" ht="21.75" customHeight="1">
      <c r="A177" s="118"/>
      <c r="B177" s="100"/>
      <c r="C177" s="102"/>
      <c r="D177" s="105"/>
      <c r="E177" s="106"/>
      <c r="F177" s="16" t="s">
        <v>15</v>
      </c>
      <c r="G177" s="26">
        <f>H177+I177+J177+K177+L177</f>
        <v>143715318</v>
      </c>
      <c r="H177" s="26">
        <v>0</v>
      </c>
      <c r="I177" s="26">
        <v>0</v>
      </c>
      <c r="J177" s="26">
        <f>'[5]Лист1'!$G$6</f>
        <v>127393818</v>
      </c>
      <c r="K177" s="26">
        <f>'[5]Лист1'!$H$5</f>
        <v>16321500</v>
      </c>
      <c r="L177" s="26">
        <v>0</v>
      </c>
      <c r="M177" s="82"/>
      <c r="N177" s="14"/>
      <c r="Y177" s="138"/>
    </row>
    <row r="178" spans="1:25" ht="21.75" customHeight="1">
      <c r="A178" s="116" t="s">
        <v>58</v>
      </c>
      <c r="B178" s="98" t="s">
        <v>59</v>
      </c>
      <c r="C178" s="101" t="s">
        <v>125</v>
      </c>
      <c r="D178" s="135" t="s">
        <v>130</v>
      </c>
      <c r="E178" s="101" t="s">
        <v>106</v>
      </c>
      <c r="F178" s="16" t="s">
        <v>12</v>
      </c>
      <c r="G178" s="26">
        <f aca="true" t="shared" si="48" ref="G178:L178">G179+G180+G181</f>
        <v>6525000</v>
      </c>
      <c r="H178" s="26">
        <f t="shared" si="48"/>
        <v>2525000</v>
      </c>
      <c r="I178" s="26">
        <f t="shared" si="48"/>
        <v>2000000</v>
      </c>
      <c r="J178" s="26">
        <f t="shared" si="48"/>
        <v>0</v>
      </c>
      <c r="K178" s="26">
        <f t="shared" si="48"/>
        <v>1000000</v>
      </c>
      <c r="L178" s="26">
        <f t="shared" si="48"/>
        <v>1000000</v>
      </c>
      <c r="M178" s="82"/>
      <c r="N178" s="3"/>
      <c r="V178" s="3" t="e">
        <f>#REF!+#REF!+#REF!+#REF!</f>
        <v>#REF!</v>
      </c>
      <c r="Y178" s="138"/>
    </row>
    <row r="179" spans="1:25" ht="21.75" customHeight="1">
      <c r="A179" s="117"/>
      <c r="B179" s="99"/>
      <c r="C179" s="102"/>
      <c r="D179" s="136"/>
      <c r="E179" s="102"/>
      <c r="F179" s="16" t="s">
        <v>13</v>
      </c>
      <c r="G179" s="26">
        <f>H179+I179+J179+K179+L179</f>
        <v>4052500</v>
      </c>
      <c r="H179" s="26">
        <f>1000000+47250+5250</f>
        <v>1052500</v>
      </c>
      <c r="I179" s="26">
        <v>1000000</v>
      </c>
      <c r="J179" s="26">
        <v>0</v>
      </c>
      <c r="K179" s="26">
        <v>1000000</v>
      </c>
      <c r="L179" s="26">
        <v>1000000</v>
      </c>
      <c r="M179" s="82"/>
      <c r="Y179" s="138"/>
    </row>
    <row r="180" spans="1:25" ht="21.75" customHeight="1">
      <c r="A180" s="117"/>
      <c r="B180" s="99"/>
      <c r="C180" s="102"/>
      <c r="D180" s="136"/>
      <c r="E180" s="102"/>
      <c r="F180" s="16" t="s">
        <v>14</v>
      </c>
      <c r="G180" s="26">
        <f>H180+I180+J180+K180+L180</f>
        <v>2472500</v>
      </c>
      <c r="H180" s="26">
        <f>1000000+472500</f>
        <v>1472500</v>
      </c>
      <c r="I180" s="26">
        <v>1000000</v>
      </c>
      <c r="J180" s="26">
        <v>0</v>
      </c>
      <c r="K180" s="26">
        <v>0</v>
      </c>
      <c r="L180" s="26">
        <v>0</v>
      </c>
      <c r="M180" s="82"/>
      <c r="Y180" s="138"/>
    </row>
    <row r="181" spans="1:25" ht="21.75" customHeight="1">
      <c r="A181" s="118"/>
      <c r="B181" s="100"/>
      <c r="C181" s="102"/>
      <c r="D181" s="137"/>
      <c r="E181" s="106"/>
      <c r="F181" s="16" t="s">
        <v>15</v>
      </c>
      <c r="G181" s="26">
        <f>H181+I181+J181+K181+L181</f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82"/>
      <c r="Y181" s="138"/>
    </row>
    <row r="182" spans="1:25" ht="21.75" customHeight="1">
      <c r="A182" s="116" t="s">
        <v>191</v>
      </c>
      <c r="B182" s="98" t="s">
        <v>110</v>
      </c>
      <c r="C182" s="101" t="s">
        <v>125</v>
      </c>
      <c r="D182" s="103" t="s">
        <v>122</v>
      </c>
      <c r="E182" s="101" t="s">
        <v>106</v>
      </c>
      <c r="F182" s="16" t="s">
        <v>12</v>
      </c>
      <c r="G182" s="26">
        <f aca="true" t="shared" si="49" ref="G182:L182">G183+G184+G185</f>
        <v>12723773</v>
      </c>
      <c r="H182" s="26">
        <f t="shared" si="49"/>
        <v>3038075</v>
      </c>
      <c r="I182" s="26">
        <f t="shared" si="49"/>
        <v>2233000</v>
      </c>
      <c r="J182" s="26">
        <f t="shared" si="49"/>
        <v>2417566</v>
      </c>
      <c r="K182" s="26">
        <f t="shared" si="49"/>
        <v>2317566</v>
      </c>
      <c r="L182" s="26">
        <f t="shared" si="49"/>
        <v>2717566</v>
      </c>
      <c r="M182" s="82"/>
      <c r="Y182" s="138"/>
    </row>
    <row r="183" spans="1:25" ht="21.75" customHeight="1">
      <c r="A183" s="117"/>
      <c r="B183" s="99"/>
      <c r="C183" s="102"/>
      <c r="D183" s="104"/>
      <c r="E183" s="102"/>
      <c r="F183" s="16" t="s">
        <v>13</v>
      </c>
      <c r="G183" s="26">
        <f aca="true" t="shared" si="50" ref="G183:G197">H183+I183+J183+K183+L183</f>
        <v>12585698</v>
      </c>
      <c r="H183" s="26">
        <f>3200000-300000-62034+62034</f>
        <v>2900000</v>
      </c>
      <c r="I183" s="26">
        <f>1933000+300000</f>
        <v>2233000</v>
      </c>
      <c r="J183" s="26">
        <f>1127003+1186637+103926</f>
        <v>2417566</v>
      </c>
      <c r="K183" s="26">
        <f>1027003+1186637+103926</f>
        <v>2317566</v>
      </c>
      <c r="L183" s="26">
        <f>1427003+1186637+103926</f>
        <v>2717566</v>
      </c>
      <c r="M183" s="82"/>
      <c r="Y183" s="138"/>
    </row>
    <row r="184" spans="1:25" ht="21.75" customHeight="1">
      <c r="A184" s="117"/>
      <c r="B184" s="99"/>
      <c r="C184" s="102"/>
      <c r="D184" s="104"/>
      <c r="E184" s="102"/>
      <c r="F184" s="16" t="s">
        <v>14</v>
      </c>
      <c r="G184" s="26">
        <f t="shared" si="50"/>
        <v>138075</v>
      </c>
      <c r="H184" s="26">
        <v>138075</v>
      </c>
      <c r="I184" s="26">
        <v>0</v>
      </c>
      <c r="J184" s="26">
        <v>0</v>
      </c>
      <c r="K184" s="26">
        <v>0</v>
      </c>
      <c r="L184" s="26">
        <v>0</v>
      </c>
      <c r="M184" s="82"/>
      <c r="O184" s="3"/>
      <c r="Y184" s="138"/>
    </row>
    <row r="185" spans="1:25" ht="21.75" customHeight="1">
      <c r="A185" s="118"/>
      <c r="B185" s="100"/>
      <c r="C185" s="102"/>
      <c r="D185" s="105"/>
      <c r="E185" s="106"/>
      <c r="F185" s="16" t="s">
        <v>15</v>
      </c>
      <c r="G185" s="26">
        <f t="shared" si="50"/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82"/>
      <c r="O185" s="3"/>
      <c r="Y185" s="138"/>
    </row>
    <row r="186" spans="1:13" ht="21.75" customHeight="1">
      <c r="A186" s="116" t="s">
        <v>60</v>
      </c>
      <c r="B186" s="98" t="s">
        <v>61</v>
      </c>
      <c r="C186" s="101" t="s">
        <v>125</v>
      </c>
      <c r="D186" s="119" t="s">
        <v>140</v>
      </c>
      <c r="E186" s="101" t="s">
        <v>106</v>
      </c>
      <c r="F186" s="16" t="s">
        <v>12</v>
      </c>
      <c r="G186" s="26">
        <f aca="true" t="shared" si="51" ref="G186:L186">G187+G188+G189</f>
        <v>4325000</v>
      </c>
      <c r="H186" s="26">
        <f t="shared" si="51"/>
        <v>525000</v>
      </c>
      <c r="I186" s="26">
        <f t="shared" si="51"/>
        <v>0</v>
      </c>
      <c r="J186" s="26">
        <f t="shared" si="51"/>
        <v>1100000</v>
      </c>
      <c r="K186" s="26">
        <f t="shared" si="51"/>
        <v>1700000</v>
      </c>
      <c r="L186" s="26">
        <f t="shared" si="51"/>
        <v>1000000</v>
      </c>
      <c r="M186" s="82"/>
    </row>
    <row r="187" spans="1:15" ht="21.75" customHeight="1">
      <c r="A187" s="117"/>
      <c r="B187" s="99"/>
      <c r="C187" s="102"/>
      <c r="D187" s="120"/>
      <c r="E187" s="102"/>
      <c r="F187" s="16" t="s">
        <v>13</v>
      </c>
      <c r="G187" s="26">
        <f t="shared" si="50"/>
        <v>4325000</v>
      </c>
      <c r="H187" s="26">
        <f>700000+300000-475000</f>
        <v>525000</v>
      </c>
      <c r="I187" s="26">
        <v>0</v>
      </c>
      <c r="J187" s="26">
        <f>500000+600000</f>
        <v>1100000</v>
      </c>
      <c r="K187" s="26">
        <f>700000+300000+700000</f>
        <v>1700000</v>
      </c>
      <c r="L187" s="26">
        <f>700000+300000</f>
        <v>1000000</v>
      </c>
      <c r="M187" s="82"/>
      <c r="O187" s="2">
        <v>854209197.4</v>
      </c>
    </row>
    <row r="188" spans="1:15" ht="21.75" customHeight="1">
      <c r="A188" s="117"/>
      <c r="B188" s="99"/>
      <c r="C188" s="102"/>
      <c r="D188" s="120"/>
      <c r="E188" s="102"/>
      <c r="F188" s="16" t="s">
        <v>14</v>
      </c>
      <c r="G188" s="26">
        <f t="shared" si="50"/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82"/>
      <c r="O188" s="2">
        <v>852492090</v>
      </c>
    </row>
    <row r="189" spans="1:15" ht="21.75" customHeight="1">
      <c r="A189" s="118"/>
      <c r="B189" s="100"/>
      <c r="C189" s="102"/>
      <c r="D189" s="121"/>
      <c r="E189" s="106"/>
      <c r="F189" s="16" t="s">
        <v>15</v>
      </c>
      <c r="G189" s="26">
        <f t="shared" si="50"/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82"/>
      <c r="O189" s="2">
        <f>O187-O188</f>
        <v>1717107.3999999762</v>
      </c>
    </row>
    <row r="190" spans="1:13" s="12" customFormat="1" ht="21.75" customHeight="1">
      <c r="A190" s="116" t="s">
        <v>192</v>
      </c>
      <c r="B190" s="98" t="s">
        <v>155</v>
      </c>
      <c r="C190" s="101" t="s">
        <v>125</v>
      </c>
      <c r="D190" s="131" t="s">
        <v>156</v>
      </c>
      <c r="E190" s="101" t="s">
        <v>106</v>
      </c>
      <c r="F190" s="16" t="s">
        <v>12</v>
      </c>
      <c r="G190" s="26">
        <f aca="true" t="shared" si="52" ref="G190:L190">G191+G192+G193</f>
        <v>1316716</v>
      </c>
      <c r="H190" s="26">
        <f t="shared" si="52"/>
        <v>1316716</v>
      </c>
      <c r="I190" s="26">
        <f t="shared" si="52"/>
        <v>0</v>
      </c>
      <c r="J190" s="26">
        <f t="shared" si="52"/>
        <v>0</v>
      </c>
      <c r="K190" s="26">
        <f t="shared" si="52"/>
        <v>0</v>
      </c>
      <c r="L190" s="26">
        <f t="shared" si="52"/>
        <v>0</v>
      </c>
      <c r="M190" s="82"/>
    </row>
    <row r="191" spans="1:13" s="12" customFormat="1" ht="21.75" customHeight="1">
      <c r="A191" s="117"/>
      <c r="B191" s="99"/>
      <c r="C191" s="102"/>
      <c r="D191" s="132"/>
      <c r="E191" s="102"/>
      <c r="F191" s="16" t="s">
        <v>13</v>
      </c>
      <c r="G191" s="26">
        <f>H191+I191+J191+K191+L191</f>
        <v>456237</v>
      </c>
      <c r="H191" s="26">
        <f>368777+87460</f>
        <v>456237</v>
      </c>
      <c r="I191" s="26">
        <v>0</v>
      </c>
      <c r="J191" s="26">
        <v>0</v>
      </c>
      <c r="K191" s="26">
        <v>0</v>
      </c>
      <c r="L191" s="26">
        <v>0</v>
      </c>
      <c r="M191" s="82"/>
    </row>
    <row r="192" spans="1:13" s="12" customFormat="1" ht="21.75" customHeight="1">
      <c r="A192" s="117"/>
      <c r="B192" s="99"/>
      <c r="C192" s="102"/>
      <c r="D192" s="132"/>
      <c r="E192" s="102"/>
      <c r="F192" s="16" t="s">
        <v>14</v>
      </c>
      <c r="G192" s="26">
        <f>H192+I192+J192+K192+L192</f>
        <v>860479</v>
      </c>
      <c r="H192" s="26">
        <v>860479</v>
      </c>
      <c r="I192" s="26">
        <v>0</v>
      </c>
      <c r="J192" s="26">
        <v>0</v>
      </c>
      <c r="K192" s="26">
        <v>0</v>
      </c>
      <c r="L192" s="26">
        <v>0</v>
      </c>
      <c r="M192" s="82"/>
    </row>
    <row r="193" spans="1:13" s="12" customFormat="1" ht="21.75" customHeight="1">
      <c r="A193" s="118"/>
      <c r="B193" s="100"/>
      <c r="C193" s="102"/>
      <c r="D193" s="133"/>
      <c r="E193" s="106"/>
      <c r="F193" s="16" t="s">
        <v>15</v>
      </c>
      <c r="G193" s="26">
        <f>H193+I193+J193+K193+L193</f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82"/>
    </row>
    <row r="194" spans="1:13" ht="21.75" customHeight="1" hidden="1" outlineLevel="1">
      <c r="A194" s="64"/>
      <c r="B194" s="98" t="s">
        <v>97</v>
      </c>
      <c r="C194" s="101" t="s">
        <v>125</v>
      </c>
      <c r="D194" s="101"/>
      <c r="E194" s="101" t="s">
        <v>106</v>
      </c>
      <c r="F194" s="16" t="s">
        <v>12</v>
      </c>
      <c r="G194" s="26">
        <f aca="true" t="shared" si="53" ref="G194:L194">G195+G196+G197</f>
        <v>0</v>
      </c>
      <c r="H194" s="26">
        <f t="shared" si="53"/>
        <v>0</v>
      </c>
      <c r="I194" s="26">
        <f t="shared" si="53"/>
        <v>0</v>
      </c>
      <c r="J194" s="26">
        <f t="shared" si="53"/>
        <v>0</v>
      </c>
      <c r="K194" s="26">
        <f t="shared" si="53"/>
        <v>0</v>
      </c>
      <c r="L194" s="26">
        <f t="shared" si="53"/>
        <v>0</v>
      </c>
      <c r="M194" s="82"/>
    </row>
    <row r="195" spans="1:13" ht="21.75" customHeight="1" hidden="1" outlineLevel="1">
      <c r="A195" s="65" t="s">
        <v>101</v>
      </c>
      <c r="B195" s="99"/>
      <c r="C195" s="102"/>
      <c r="D195" s="102"/>
      <c r="E195" s="102"/>
      <c r="F195" s="16" t="s">
        <v>13</v>
      </c>
      <c r="G195" s="26">
        <f t="shared" si="50"/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82"/>
    </row>
    <row r="196" spans="1:13" ht="21.75" customHeight="1" hidden="1" outlineLevel="1">
      <c r="A196" s="64"/>
      <c r="B196" s="99"/>
      <c r="C196" s="102"/>
      <c r="D196" s="102"/>
      <c r="E196" s="102"/>
      <c r="F196" s="16" t="s">
        <v>14</v>
      </c>
      <c r="G196" s="26">
        <f t="shared" si="50"/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82"/>
    </row>
    <row r="197" spans="1:13" ht="21.75" customHeight="1" hidden="1" outlineLevel="1">
      <c r="A197" s="64"/>
      <c r="B197" s="100"/>
      <c r="C197" s="102"/>
      <c r="D197" s="106"/>
      <c r="E197" s="106"/>
      <c r="F197" s="16" t="s">
        <v>15</v>
      </c>
      <c r="G197" s="26">
        <f t="shared" si="50"/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82"/>
    </row>
    <row r="198" spans="1:13" ht="21.75" customHeight="1" hidden="1" outlineLevel="1">
      <c r="A198" s="116" t="s">
        <v>154</v>
      </c>
      <c r="B198" s="98" t="s">
        <v>81</v>
      </c>
      <c r="C198" s="101" t="s">
        <v>125</v>
      </c>
      <c r="D198" s="101"/>
      <c r="E198" s="101" t="s">
        <v>106</v>
      </c>
      <c r="F198" s="16" t="s">
        <v>12</v>
      </c>
      <c r="G198" s="26">
        <f aca="true" t="shared" si="54" ref="G198:L198">G199+G200+G201</f>
        <v>0</v>
      </c>
      <c r="H198" s="26">
        <f t="shared" si="54"/>
        <v>0</v>
      </c>
      <c r="I198" s="26">
        <f t="shared" si="54"/>
        <v>0</v>
      </c>
      <c r="J198" s="26">
        <f t="shared" si="54"/>
        <v>0</v>
      </c>
      <c r="K198" s="26">
        <f t="shared" si="54"/>
        <v>0</v>
      </c>
      <c r="L198" s="26">
        <f t="shared" si="54"/>
        <v>0</v>
      </c>
      <c r="M198" s="82"/>
    </row>
    <row r="199" spans="1:13" ht="21.75" customHeight="1" hidden="1" outlineLevel="1">
      <c r="A199" s="117"/>
      <c r="B199" s="99"/>
      <c r="C199" s="102"/>
      <c r="D199" s="102"/>
      <c r="E199" s="102"/>
      <c r="F199" s="16" t="s">
        <v>13</v>
      </c>
      <c r="G199" s="26">
        <f>H199+I199+J199+K199+L199</f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82"/>
    </row>
    <row r="200" spans="1:13" ht="21.75" customHeight="1" hidden="1" outlineLevel="1">
      <c r="A200" s="117"/>
      <c r="B200" s="99"/>
      <c r="C200" s="102"/>
      <c r="D200" s="102"/>
      <c r="E200" s="102"/>
      <c r="F200" s="16" t="s">
        <v>14</v>
      </c>
      <c r="G200" s="26">
        <f>H200+I200+J200+K200+L200</f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82"/>
    </row>
    <row r="201" spans="1:13" ht="21.75" customHeight="1" hidden="1" outlineLevel="1">
      <c r="A201" s="118"/>
      <c r="B201" s="100"/>
      <c r="C201" s="102"/>
      <c r="D201" s="106"/>
      <c r="E201" s="106"/>
      <c r="F201" s="16" t="s">
        <v>15</v>
      </c>
      <c r="G201" s="26">
        <f>H201+I201+J201+K201+L201</f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82"/>
    </row>
    <row r="202" spans="1:25" ht="21.75" customHeight="1" hidden="1" outlineLevel="1">
      <c r="A202" s="66"/>
      <c r="B202" s="98" t="s">
        <v>98</v>
      </c>
      <c r="C202" s="101" t="s">
        <v>125</v>
      </c>
      <c r="D202" s="101"/>
      <c r="E202" s="101" t="s">
        <v>106</v>
      </c>
      <c r="F202" s="16" t="s">
        <v>12</v>
      </c>
      <c r="G202" s="26">
        <f aca="true" t="shared" si="55" ref="G202:L202">G203+G204+G205</f>
        <v>0</v>
      </c>
      <c r="H202" s="26">
        <f t="shared" si="55"/>
        <v>0</v>
      </c>
      <c r="I202" s="26">
        <f t="shared" si="55"/>
        <v>0</v>
      </c>
      <c r="J202" s="26">
        <f t="shared" si="55"/>
        <v>0</v>
      </c>
      <c r="K202" s="26">
        <f t="shared" si="55"/>
        <v>0</v>
      </c>
      <c r="L202" s="26">
        <f t="shared" si="55"/>
        <v>0</v>
      </c>
      <c r="M202" s="82"/>
      <c r="O202" s="3"/>
      <c r="Y202" s="15"/>
    </row>
    <row r="203" spans="1:25" ht="21.75" customHeight="1" hidden="1" outlineLevel="1">
      <c r="A203" s="66"/>
      <c r="B203" s="99"/>
      <c r="C203" s="102"/>
      <c r="D203" s="102"/>
      <c r="E203" s="102"/>
      <c r="F203" s="16" t="s">
        <v>13</v>
      </c>
      <c r="G203" s="26">
        <f>H203+I203+J203+K203+L203</f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82"/>
      <c r="O203" s="3"/>
      <c r="Y203" s="15"/>
    </row>
    <row r="204" spans="1:25" ht="21.75" customHeight="1" hidden="1" outlineLevel="1">
      <c r="A204" s="67" t="s">
        <v>193</v>
      </c>
      <c r="B204" s="99"/>
      <c r="C204" s="102"/>
      <c r="D204" s="102"/>
      <c r="E204" s="102"/>
      <c r="F204" s="16" t="s">
        <v>14</v>
      </c>
      <c r="G204" s="26">
        <f>H204+I204+J204+K204+L204</f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82"/>
      <c r="O204" s="3"/>
      <c r="Y204" s="15"/>
    </row>
    <row r="205" spans="1:25" ht="21.75" customHeight="1" hidden="1" outlineLevel="1">
      <c r="A205" s="66"/>
      <c r="B205" s="100"/>
      <c r="C205" s="102"/>
      <c r="D205" s="106"/>
      <c r="E205" s="106"/>
      <c r="F205" s="16" t="s">
        <v>15</v>
      </c>
      <c r="G205" s="26">
        <f>H205+I205+J205+K205+L205</f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82"/>
      <c r="O205" s="3"/>
      <c r="Y205" s="15"/>
    </row>
    <row r="206" spans="1:13" ht="21.75" customHeight="1" collapsed="1">
      <c r="A206" s="107" t="s">
        <v>62</v>
      </c>
      <c r="B206" s="110" t="s">
        <v>148</v>
      </c>
      <c r="C206" s="113" t="s">
        <v>125</v>
      </c>
      <c r="D206" s="134" t="s">
        <v>142</v>
      </c>
      <c r="E206" s="113" t="s">
        <v>106</v>
      </c>
      <c r="F206" s="39" t="s">
        <v>12</v>
      </c>
      <c r="G206" s="40">
        <f aca="true" t="shared" si="56" ref="G206:L206">G207+G208+G209</f>
        <v>23886512.549999997</v>
      </c>
      <c r="H206" s="40">
        <f t="shared" si="56"/>
        <v>1942784.25</v>
      </c>
      <c r="I206" s="40">
        <f t="shared" si="56"/>
        <v>4335490.64</v>
      </c>
      <c r="J206" s="40">
        <f t="shared" si="56"/>
        <v>7869412.56</v>
      </c>
      <c r="K206" s="40">
        <f t="shared" si="56"/>
        <v>4869412.54</v>
      </c>
      <c r="L206" s="40">
        <f t="shared" si="56"/>
        <v>4869412.56</v>
      </c>
      <c r="M206" s="126"/>
    </row>
    <row r="207" spans="1:13" ht="21.75" customHeight="1">
      <c r="A207" s="108"/>
      <c r="B207" s="111"/>
      <c r="C207" s="114"/>
      <c r="D207" s="114"/>
      <c r="E207" s="114"/>
      <c r="F207" s="39" t="s">
        <v>13</v>
      </c>
      <c r="G207" s="40">
        <f>H207+I207+J207+K207+L207</f>
        <v>6965314.18</v>
      </c>
      <c r="H207" s="40">
        <f aca="true" t="shared" si="57" ref="H207:I209">H211+H215+H219+H227+H223</f>
        <v>1742784.25</v>
      </c>
      <c r="I207" s="40">
        <f>I211+I215+I219+I227+I223</f>
        <v>722529.9299999999</v>
      </c>
      <c r="J207" s="40">
        <f aca="true" t="shared" si="58" ref="J207:L209">J211+J215+J219+J227+J223</f>
        <v>3500000</v>
      </c>
      <c r="K207" s="40">
        <f t="shared" si="58"/>
        <v>500000</v>
      </c>
      <c r="L207" s="40">
        <f t="shared" si="58"/>
        <v>500000</v>
      </c>
      <c r="M207" s="127"/>
    </row>
    <row r="208" spans="1:13" ht="21.75" customHeight="1">
      <c r="A208" s="108"/>
      <c r="B208" s="111"/>
      <c r="C208" s="114"/>
      <c r="D208" s="114"/>
      <c r="E208" s="114"/>
      <c r="F208" s="39" t="s">
        <v>14</v>
      </c>
      <c r="G208" s="40">
        <f>H208+I208+J208+K208+L208</f>
        <v>16921198.369999997</v>
      </c>
      <c r="H208" s="40">
        <f t="shared" si="57"/>
        <v>200000</v>
      </c>
      <c r="I208" s="40">
        <f t="shared" si="57"/>
        <v>3612960.71</v>
      </c>
      <c r="J208" s="40">
        <f t="shared" si="58"/>
        <v>4369412.56</v>
      </c>
      <c r="K208" s="40">
        <f t="shared" si="58"/>
        <v>4369412.54</v>
      </c>
      <c r="L208" s="40">
        <f t="shared" si="58"/>
        <v>4369412.56</v>
      </c>
      <c r="M208" s="127"/>
    </row>
    <row r="209" spans="1:13" ht="21.75" customHeight="1">
      <c r="A209" s="109"/>
      <c r="B209" s="112"/>
      <c r="C209" s="115"/>
      <c r="D209" s="115"/>
      <c r="E209" s="115"/>
      <c r="F209" s="39" t="s">
        <v>15</v>
      </c>
      <c r="G209" s="40">
        <f>H209+I209+J209+K209+L209</f>
        <v>0</v>
      </c>
      <c r="H209" s="40">
        <f t="shared" si="57"/>
        <v>0</v>
      </c>
      <c r="I209" s="40">
        <f t="shared" si="57"/>
        <v>0</v>
      </c>
      <c r="J209" s="40">
        <f t="shared" si="58"/>
        <v>0</v>
      </c>
      <c r="K209" s="40">
        <f t="shared" si="58"/>
        <v>0</v>
      </c>
      <c r="L209" s="40">
        <f t="shared" si="58"/>
        <v>0</v>
      </c>
      <c r="M209" s="128"/>
    </row>
    <row r="210" spans="1:13" ht="21.75" customHeight="1">
      <c r="A210" s="116" t="s">
        <v>63</v>
      </c>
      <c r="B210" s="98" t="s">
        <v>64</v>
      </c>
      <c r="C210" s="101" t="s">
        <v>125</v>
      </c>
      <c r="D210" s="103" t="s">
        <v>128</v>
      </c>
      <c r="E210" s="101" t="s">
        <v>106</v>
      </c>
      <c r="F210" s="16" t="s">
        <v>12</v>
      </c>
      <c r="G210" s="26">
        <f aca="true" t="shared" si="59" ref="G210:L210">G211+G212+G213</f>
        <v>4667221.3</v>
      </c>
      <c r="H210" s="26">
        <f t="shared" si="59"/>
        <v>1426776.79</v>
      </c>
      <c r="I210" s="26">
        <f t="shared" si="59"/>
        <v>0</v>
      </c>
      <c r="J210" s="26">
        <f t="shared" si="59"/>
        <v>3100068.51</v>
      </c>
      <c r="K210" s="26">
        <f t="shared" si="59"/>
        <v>70188</v>
      </c>
      <c r="L210" s="26">
        <f t="shared" si="59"/>
        <v>70188</v>
      </c>
      <c r="M210" s="129" t="s">
        <v>206</v>
      </c>
    </row>
    <row r="211" spans="1:13" ht="21.75" customHeight="1">
      <c r="A211" s="117"/>
      <c r="B211" s="99"/>
      <c r="C211" s="102"/>
      <c r="D211" s="104"/>
      <c r="E211" s="102"/>
      <c r="F211" s="16" t="s">
        <v>13</v>
      </c>
      <c r="G211" s="26">
        <f>H211+I211+J211+K211+L211</f>
        <v>4667221.3</v>
      </c>
      <c r="H211" s="26">
        <f>76776.79+1000000+350000</f>
        <v>1426776.79</v>
      </c>
      <c r="I211" s="26">
        <v>0</v>
      </c>
      <c r="J211" s="26">
        <f>70188+3000000+29880.51</f>
        <v>3100068.51</v>
      </c>
      <c r="K211" s="26">
        <v>70188</v>
      </c>
      <c r="L211" s="26">
        <v>70188</v>
      </c>
      <c r="M211" s="130"/>
    </row>
    <row r="212" spans="1:13" ht="21.75" customHeight="1">
      <c r="A212" s="117"/>
      <c r="B212" s="99"/>
      <c r="C212" s="102"/>
      <c r="D212" s="104"/>
      <c r="E212" s="102"/>
      <c r="F212" s="16" t="s">
        <v>14</v>
      </c>
      <c r="G212" s="26">
        <f>H212+I212+J212+K212+L212</f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130"/>
    </row>
    <row r="213" spans="1:13" ht="21.75" customHeight="1">
      <c r="A213" s="118"/>
      <c r="B213" s="100"/>
      <c r="C213" s="102"/>
      <c r="D213" s="105"/>
      <c r="E213" s="106"/>
      <c r="F213" s="16" t="s">
        <v>15</v>
      </c>
      <c r="G213" s="26">
        <f>H213+I213+J213+K213+L213</f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130"/>
    </row>
    <row r="214" spans="1:13" ht="21.75" customHeight="1">
      <c r="A214" s="116" t="s">
        <v>65</v>
      </c>
      <c r="B214" s="98" t="s">
        <v>66</v>
      </c>
      <c r="C214" s="101" t="s">
        <v>125</v>
      </c>
      <c r="D214" s="103" t="s">
        <v>142</v>
      </c>
      <c r="E214" s="101" t="s">
        <v>106</v>
      </c>
      <c r="F214" s="16" t="s">
        <v>12</v>
      </c>
      <c r="G214" s="26">
        <f aca="true" t="shared" si="60" ref="G214:L214">G215+G216+G217</f>
        <v>1341837.88</v>
      </c>
      <c r="H214" s="26">
        <f t="shared" si="60"/>
        <v>199970.46</v>
      </c>
      <c r="I214" s="26">
        <f t="shared" si="60"/>
        <v>422529.93</v>
      </c>
      <c r="J214" s="26">
        <f t="shared" si="60"/>
        <v>289931.49</v>
      </c>
      <c r="K214" s="26">
        <f t="shared" si="60"/>
        <v>214703</v>
      </c>
      <c r="L214" s="26">
        <f t="shared" si="60"/>
        <v>214703</v>
      </c>
      <c r="M214" s="130"/>
    </row>
    <row r="215" spans="1:13" ht="21.75" customHeight="1">
      <c r="A215" s="117"/>
      <c r="B215" s="99"/>
      <c r="C215" s="102"/>
      <c r="D215" s="104"/>
      <c r="E215" s="102"/>
      <c r="F215" s="16" t="s">
        <v>13</v>
      </c>
      <c r="G215" s="26">
        <f>H215+I215+J215+K215+L215</f>
        <v>1341837.88</v>
      </c>
      <c r="H215" s="26">
        <f>190170.46+9800</f>
        <v>199970.46</v>
      </c>
      <c r="I215" s="26">
        <v>422529.93</v>
      </c>
      <c r="J215" s="26">
        <v>289931.49</v>
      </c>
      <c r="K215" s="26">
        <v>214703</v>
      </c>
      <c r="L215" s="26">
        <v>214703</v>
      </c>
      <c r="M215" s="130"/>
    </row>
    <row r="216" spans="1:13" ht="21.75" customHeight="1">
      <c r="A216" s="117"/>
      <c r="B216" s="99"/>
      <c r="C216" s="102"/>
      <c r="D216" s="104"/>
      <c r="E216" s="102"/>
      <c r="F216" s="16" t="s">
        <v>14</v>
      </c>
      <c r="G216" s="26">
        <f>H216+I216+J216+K216+L216</f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130"/>
    </row>
    <row r="217" spans="1:13" ht="21.75" customHeight="1">
      <c r="A217" s="118"/>
      <c r="B217" s="100"/>
      <c r="C217" s="102"/>
      <c r="D217" s="105"/>
      <c r="E217" s="106"/>
      <c r="F217" s="16" t="s">
        <v>15</v>
      </c>
      <c r="G217" s="26">
        <f>H217+I217+J217+K217+L217</f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130"/>
    </row>
    <row r="218" spans="1:13" ht="21.75" customHeight="1">
      <c r="A218" s="116" t="s">
        <v>67</v>
      </c>
      <c r="B218" s="98" t="s">
        <v>109</v>
      </c>
      <c r="C218" s="101" t="s">
        <v>125</v>
      </c>
      <c r="D218" s="101"/>
      <c r="E218" s="101" t="s">
        <v>106</v>
      </c>
      <c r="F218" s="16" t="s">
        <v>12</v>
      </c>
      <c r="G218" s="26">
        <f aca="true" t="shared" si="61" ref="G218:L218">G219+G220+G221</f>
        <v>0</v>
      </c>
      <c r="H218" s="26">
        <f t="shared" si="61"/>
        <v>0</v>
      </c>
      <c r="I218" s="26">
        <f t="shared" si="61"/>
        <v>0</v>
      </c>
      <c r="J218" s="26">
        <f t="shared" si="61"/>
        <v>0</v>
      </c>
      <c r="K218" s="26">
        <f t="shared" si="61"/>
        <v>0</v>
      </c>
      <c r="L218" s="26">
        <f t="shared" si="61"/>
        <v>0</v>
      </c>
      <c r="M218" s="130"/>
    </row>
    <row r="219" spans="1:13" ht="21.75" customHeight="1">
      <c r="A219" s="117"/>
      <c r="B219" s="99"/>
      <c r="C219" s="102"/>
      <c r="D219" s="102"/>
      <c r="E219" s="102"/>
      <c r="F219" s="16" t="s">
        <v>13</v>
      </c>
      <c r="G219" s="26">
        <f>H219+I219+J219+K219+L219</f>
        <v>0</v>
      </c>
      <c r="H219" s="26">
        <v>0</v>
      </c>
      <c r="I219" s="26">
        <v>0</v>
      </c>
      <c r="J219" s="26">
        <v>0</v>
      </c>
      <c r="K219" s="26"/>
      <c r="L219" s="26">
        <v>0</v>
      </c>
      <c r="M219" s="130"/>
    </row>
    <row r="220" spans="1:13" ht="21.75" customHeight="1">
      <c r="A220" s="117"/>
      <c r="B220" s="99"/>
      <c r="C220" s="102"/>
      <c r="D220" s="102"/>
      <c r="E220" s="102"/>
      <c r="F220" s="16" t="s">
        <v>14</v>
      </c>
      <c r="G220" s="26">
        <f>H220+I220+J220+K220+L220</f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130"/>
    </row>
    <row r="221" spans="1:13" ht="21.75" customHeight="1">
      <c r="A221" s="118"/>
      <c r="B221" s="100"/>
      <c r="C221" s="102"/>
      <c r="D221" s="106"/>
      <c r="E221" s="106"/>
      <c r="F221" s="16" t="s">
        <v>15</v>
      </c>
      <c r="G221" s="26">
        <f>H221+I221+J221+K221+L221</f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130"/>
    </row>
    <row r="222" spans="1:13" ht="21.75" customHeight="1">
      <c r="A222" s="64"/>
      <c r="B222" s="98" t="s">
        <v>104</v>
      </c>
      <c r="C222" s="101" t="s">
        <v>125</v>
      </c>
      <c r="D222" s="103" t="s">
        <v>127</v>
      </c>
      <c r="E222" s="101" t="s">
        <v>106</v>
      </c>
      <c r="F222" s="16" t="s">
        <v>12</v>
      </c>
      <c r="G222" s="26">
        <f aca="true" t="shared" si="62" ref="G222:L222">G223+G224+G225</f>
        <v>1246255</v>
      </c>
      <c r="H222" s="26">
        <f t="shared" si="62"/>
        <v>316037</v>
      </c>
      <c r="I222" s="26">
        <f t="shared" si="62"/>
        <v>390000</v>
      </c>
      <c r="J222" s="26">
        <f t="shared" si="62"/>
        <v>110000</v>
      </c>
      <c r="K222" s="26">
        <f t="shared" si="62"/>
        <v>215109</v>
      </c>
      <c r="L222" s="26">
        <f t="shared" si="62"/>
        <v>215109</v>
      </c>
      <c r="M222" s="130"/>
    </row>
    <row r="223" spans="1:13" ht="21.75" customHeight="1">
      <c r="A223" s="65" t="s">
        <v>102</v>
      </c>
      <c r="B223" s="99"/>
      <c r="C223" s="102"/>
      <c r="D223" s="104"/>
      <c r="E223" s="102"/>
      <c r="F223" s="16" t="s">
        <v>13</v>
      </c>
      <c r="G223" s="26">
        <f>H223+I223+J223+K223+L223</f>
        <v>756255</v>
      </c>
      <c r="H223" s="26">
        <v>116037</v>
      </c>
      <c r="I223" s="26">
        <f>157703.92-57703.92</f>
        <v>100000.00000000001</v>
      </c>
      <c r="J223" s="26">
        <v>110000</v>
      </c>
      <c r="K223" s="26">
        <v>215109</v>
      </c>
      <c r="L223" s="26">
        <v>215109</v>
      </c>
      <c r="M223" s="130"/>
    </row>
    <row r="224" spans="1:13" ht="21.75" customHeight="1">
      <c r="A224" s="64"/>
      <c r="B224" s="99"/>
      <c r="C224" s="102"/>
      <c r="D224" s="104"/>
      <c r="E224" s="102"/>
      <c r="F224" s="16" t="s">
        <v>14</v>
      </c>
      <c r="G224" s="26">
        <f>H224+I224+J224+K224+L224</f>
        <v>490000</v>
      </c>
      <c r="H224" s="26">
        <v>200000</v>
      </c>
      <c r="I224" s="26">
        <v>290000</v>
      </c>
      <c r="J224" s="26">
        <v>0</v>
      </c>
      <c r="K224" s="26">
        <v>0</v>
      </c>
      <c r="L224" s="26">
        <v>0</v>
      </c>
      <c r="M224" s="130"/>
    </row>
    <row r="225" spans="1:13" ht="21.75" customHeight="1">
      <c r="A225" s="64"/>
      <c r="B225" s="100"/>
      <c r="C225" s="102"/>
      <c r="D225" s="105"/>
      <c r="E225" s="106"/>
      <c r="F225" s="16" t="s">
        <v>15</v>
      </c>
      <c r="G225" s="26">
        <f>H225+I225+J225+K225+L225</f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130"/>
    </row>
    <row r="226" spans="1:13" ht="21.75" customHeight="1">
      <c r="A226" s="116" t="s">
        <v>103</v>
      </c>
      <c r="B226" s="98" t="s">
        <v>78</v>
      </c>
      <c r="C226" s="101" t="s">
        <v>125</v>
      </c>
      <c r="D226" s="103" t="s">
        <v>141</v>
      </c>
      <c r="E226" s="101" t="s">
        <v>106</v>
      </c>
      <c r="F226" s="16" t="s">
        <v>12</v>
      </c>
      <c r="G226" s="26">
        <f aca="true" t="shared" si="63" ref="G226:L226">G227+G228+G229</f>
        <v>16631198.369999997</v>
      </c>
      <c r="H226" s="26">
        <f t="shared" si="63"/>
        <v>0</v>
      </c>
      <c r="I226" s="26">
        <f t="shared" si="63"/>
        <v>3522960.71</v>
      </c>
      <c r="J226" s="26">
        <f t="shared" si="63"/>
        <v>4369412.56</v>
      </c>
      <c r="K226" s="26">
        <f t="shared" si="63"/>
        <v>4369412.54</v>
      </c>
      <c r="L226" s="26">
        <f t="shared" si="63"/>
        <v>4369412.56</v>
      </c>
      <c r="M226" s="130"/>
    </row>
    <row r="227" spans="1:13" ht="21.75" customHeight="1">
      <c r="A227" s="117"/>
      <c r="B227" s="99"/>
      <c r="C227" s="102"/>
      <c r="D227" s="104"/>
      <c r="E227" s="102"/>
      <c r="F227" s="16" t="s">
        <v>13</v>
      </c>
      <c r="G227" s="26">
        <f>H227+I227+J227+K227+L227</f>
        <v>200000</v>
      </c>
      <c r="H227" s="26">
        <v>0</v>
      </c>
      <c r="I227" s="26">
        <f>200000+572400-572400</f>
        <v>200000</v>
      </c>
      <c r="J227" s="26">
        <v>0</v>
      </c>
      <c r="K227" s="26">
        <v>0</v>
      </c>
      <c r="L227" s="26">
        <v>0</v>
      </c>
      <c r="M227" s="130"/>
    </row>
    <row r="228" spans="1:13" ht="21.75" customHeight="1">
      <c r="A228" s="117"/>
      <c r="B228" s="99"/>
      <c r="C228" s="102"/>
      <c r="D228" s="104"/>
      <c r="E228" s="102"/>
      <c r="F228" s="16" t="s">
        <v>14</v>
      </c>
      <c r="G228" s="26">
        <f>H228+I228+J228+K228+L228</f>
        <v>16431198.369999997</v>
      </c>
      <c r="H228" s="26">
        <v>0</v>
      </c>
      <c r="I228" s="26">
        <f>4922960.71-1600000</f>
        <v>3322960.71</v>
      </c>
      <c r="J228" s="26">
        <v>4369412.56</v>
      </c>
      <c r="K228" s="26">
        <v>4369412.54</v>
      </c>
      <c r="L228" s="26">
        <v>4369412.56</v>
      </c>
      <c r="M228" s="130"/>
    </row>
    <row r="229" spans="1:13" ht="21.75" customHeight="1">
      <c r="A229" s="118"/>
      <c r="B229" s="100"/>
      <c r="C229" s="102"/>
      <c r="D229" s="105"/>
      <c r="E229" s="106"/>
      <c r="F229" s="16" t="s">
        <v>15</v>
      </c>
      <c r="G229" s="26">
        <f>H229+I229+J229+K229+L229</f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130"/>
    </row>
    <row r="230" spans="1:13" ht="21.75" customHeight="1">
      <c r="A230" s="107" t="s">
        <v>68</v>
      </c>
      <c r="B230" s="110" t="s">
        <v>149</v>
      </c>
      <c r="C230" s="113" t="s">
        <v>125</v>
      </c>
      <c r="D230" s="123" t="s">
        <v>126</v>
      </c>
      <c r="E230" s="113" t="s">
        <v>106</v>
      </c>
      <c r="F230" s="39" t="s">
        <v>12</v>
      </c>
      <c r="G230" s="40">
        <f aca="true" t="shared" si="64" ref="G230:L230">G231+G232+G233</f>
        <v>2827578.61</v>
      </c>
      <c r="H230" s="40">
        <f t="shared" si="64"/>
        <v>600000</v>
      </c>
      <c r="I230" s="40">
        <f t="shared" si="64"/>
        <v>557000</v>
      </c>
      <c r="J230" s="40">
        <f t="shared" si="64"/>
        <v>556578.61</v>
      </c>
      <c r="K230" s="40">
        <f t="shared" si="64"/>
        <v>557000</v>
      </c>
      <c r="L230" s="40">
        <f t="shared" si="64"/>
        <v>557000</v>
      </c>
      <c r="M230" s="126"/>
    </row>
    <row r="231" spans="1:13" ht="21.75" customHeight="1">
      <c r="A231" s="108"/>
      <c r="B231" s="111"/>
      <c r="C231" s="114"/>
      <c r="D231" s="124"/>
      <c r="E231" s="114"/>
      <c r="F231" s="39" t="s">
        <v>13</v>
      </c>
      <c r="G231" s="40">
        <f>H231+I231+J231+K231+L231</f>
        <v>2827578.61</v>
      </c>
      <c r="H231" s="40">
        <f>H235+H247+H255+H259+H239+H243+H251</f>
        <v>600000</v>
      </c>
      <c r="I231" s="40">
        <f>I235+I247+I255+I259+I239+I243+I251</f>
        <v>557000</v>
      </c>
      <c r="J231" s="40">
        <f>J235+J247+J255+J259+J239+J243+J251</f>
        <v>556578.61</v>
      </c>
      <c r="K231" s="40">
        <f>K235+K247+K255+K259+K239+K243+K251</f>
        <v>557000</v>
      </c>
      <c r="L231" s="40">
        <f>L235+L247+L255+L259+L239+L243+L251</f>
        <v>557000</v>
      </c>
      <c r="M231" s="127"/>
    </row>
    <row r="232" spans="1:13" ht="21.75" customHeight="1">
      <c r="A232" s="108"/>
      <c r="B232" s="111"/>
      <c r="C232" s="114"/>
      <c r="D232" s="124"/>
      <c r="E232" s="114"/>
      <c r="F232" s="39" t="s">
        <v>14</v>
      </c>
      <c r="G232" s="40">
        <f>H232+I232+J232+K232+L232</f>
        <v>0</v>
      </c>
      <c r="H232" s="40">
        <f aca="true" t="shared" si="65" ref="H232:L233">H236+H248+H256+H260+H240+H244+H252</f>
        <v>0</v>
      </c>
      <c r="I232" s="40">
        <f t="shared" si="65"/>
        <v>0</v>
      </c>
      <c r="J232" s="40">
        <f t="shared" si="65"/>
        <v>0</v>
      </c>
      <c r="K232" s="40">
        <f t="shared" si="65"/>
        <v>0</v>
      </c>
      <c r="L232" s="40">
        <f t="shared" si="65"/>
        <v>0</v>
      </c>
      <c r="M232" s="127"/>
    </row>
    <row r="233" spans="1:13" ht="21.75" customHeight="1">
      <c r="A233" s="109"/>
      <c r="B233" s="112"/>
      <c r="C233" s="115"/>
      <c r="D233" s="125"/>
      <c r="E233" s="115"/>
      <c r="F233" s="39" t="s">
        <v>15</v>
      </c>
      <c r="G233" s="40">
        <f>H233+I233+J233+K233+L233</f>
        <v>0</v>
      </c>
      <c r="H233" s="40">
        <f t="shared" si="65"/>
        <v>0</v>
      </c>
      <c r="I233" s="40">
        <f t="shared" si="65"/>
        <v>0</v>
      </c>
      <c r="J233" s="40">
        <f t="shared" si="65"/>
        <v>0</v>
      </c>
      <c r="K233" s="40">
        <f t="shared" si="65"/>
        <v>0</v>
      </c>
      <c r="L233" s="40">
        <f t="shared" si="65"/>
        <v>0</v>
      </c>
      <c r="M233" s="128"/>
    </row>
    <row r="234" spans="1:13" ht="21.75" customHeight="1">
      <c r="A234" s="116" t="s">
        <v>69</v>
      </c>
      <c r="B234" s="98" t="s">
        <v>114</v>
      </c>
      <c r="C234" s="101" t="s">
        <v>125</v>
      </c>
      <c r="D234" s="119" t="s">
        <v>124</v>
      </c>
      <c r="E234" s="101" t="s">
        <v>106</v>
      </c>
      <c r="F234" s="16" t="s">
        <v>12</v>
      </c>
      <c r="G234" s="26">
        <f aca="true" t="shared" si="66" ref="G234:L234">G235+G236+G237</f>
        <v>1038749.8</v>
      </c>
      <c r="H234" s="26">
        <f t="shared" si="66"/>
        <v>235000</v>
      </c>
      <c r="I234" s="26">
        <f t="shared" si="66"/>
        <v>197749.8</v>
      </c>
      <c r="J234" s="26">
        <f t="shared" si="66"/>
        <v>202000</v>
      </c>
      <c r="K234" s="26">
        <f t="shared" si="66"/>
        <v>202000</v>
      </c>
      <c r="L234" s="26">
        <f t="shared" si="66"/>
        <v>202000</v>
      </c>
      <c r="M234" s="82"/>
    </row>
    <row r="235" spans="1:13" ht="21.75" customHeight="1">
      <c r="A235" s="117"/>
      <c r="B235" s="99"/>
      <c r="C235" s="102"/>
      <c r="D235" s="120"/>
      <c r="E235" s="102"/>
      <c r="F235" s="16" t="s">
        <v>13</v>
      </c>
      <c r="G235" s="26">
        <f>H235+I235+J235+K235+L235</f>
        <v>1038749.8</v>
      </c>
      <c r="H235" s="26">
        <v>235000</v>
      </c>
      <c r="I235" s="26">
        <f>252000-I247-4250.2</f>
        <v>197749.8</v>
      </c>
      <c r="J235" s="26">
        <v>202000</v>
      </c>
      <c r="K235" s="26">
        <v>202000</v>
      </c>
      <c r="L235" s="26">
        <v>202000</v>
      </c>
      <c r="M235" s="82"/>
    </row>
    <row r="236" spans="1:13" ht="21.75" customHeight="1">
      <c r="A236" s="117"/>
      <c r="B236" s="99"/>
      <c r="C236" s="102"/>
      <c r="D236" s="120"/>
      <c r="E236" s="102"/>
      <c r="F236" s="16" t="s">
        <v>14</v>
      </c>
      <c r="G236" s="26">
        <f>H236+I236+J236+K236+L236</f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82"/>
    </row>
    <row r="237" spans="1:13" ht="21.75" customHeight="1">
      <c r="A237" s="118"/>
      <c r="B237" s="100"/>
      <c r="C237" s="102"/>
      <c r="D237" s="121"/>
      <c r="E237" s="106"/>
      <c r="F237" s="16" t="s">
        <v>15</v>
      </c>
      <c r="G237" s="26">
        <f>H237+I237+J237+K237+L237</f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82"/>
    </row>
    <row r="238" spans="1:13" ht="21.75" customHeight="1">
      <c r="A238" s="101" t="s">
        <v>71</v>
      </c>
      <c r="B238" s="98" t="s">
        <v>115</v>
      </c>
      <c r="C238" s="101" t="s">
        <v>125</v>
      </c>
      <c r="D238" s="119" t="s">
        <v>126</v>
      </c>
      <c r="E238" s="101" t="s">
        <v>106</v>
      </c>
      <c r="F238" s="16" t="s">
        <v>12</v>
      </c>
      <c r="G238" s="26">
        <f aca="true" t="shared" si="67" ref="G238:L238">G239+G240+G241</f>
        <v>548828.81</v>
      </c>
      <c r="H238" s="26">
        <f t="shared" si="67"/>
        <v>125000</v>
      </c>
      <c r="I238" s="26">
        <f t="shared" si="67"/>
        <v>109250.2</v>
      </c>
      <c r="J238" s="26">
        <f t="shared" si="67"/>
        <v>104578.61</v>
      </c>
      <c r="K238" s="26">
        <f t="shared" si="67"/>
        <v>105000</v>
      </c>
      <c r="L238" s="26">
        <f t="shared" si="67"/>
        <v>105000</v>
      </c>
      <c r="M238" s="82"/>
    </row>
    <row r="239" spans="1:13" ht="21.75" customHeight="1">
      <c r="A239" s="102"/>
      <c r="B239" s="99"/>
      <c r="C239" s="102"/>
      <c r="D239" s="120"/>
      <c r="E239" s="102"/>
      <c r="F239" s="16" t="s">
        <v>13</v>
      </c>
      <c r="G239" s="26">
        <f>H239+I239+J239+K239+L239</f>
        <v>548828.81</v>
      </c>
      <c r="H239" s="26">
        <v>125000</v>
      </c>
      <c r="I239" s="26">
        <f>105000+4250.2</f>
        <v>109250.2</v>
      </c>
      <c r="J239" s="26">
        <f>105000-421.39</f>
        <v>104578.61</v>
      </c>
      <c r="K239" s="26">
        <v>105000</v>
      </c>
      <c r="L239" s="26">
        <v>105000</v>
      </c>
      <c r="M239" s="82"/>
    </row>
    <row r="240" spans="1:13" ht="21.75" customHeight="1">
      <c r="A240" s="102"/>
      <c r="B240" s="99"/>
      <c r="C240" s="102"/>
      <c r="D240" s="120"/>
      <c r="E240" s="102"/>
      <c r="F240" s="16" t="s">
        <v>14</v>
      </c>
      <c r="G240" s="26">
        <f>H240+I240+J240+K240+L240</f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82"/>
    </row>
    <row r="241" spans="1:13" ht="21.75" customHeight="1">
      <c r="A241" s="106"/>
      <c r="B241" s="100"/>
      <c r="C241" s="102"/>
      <c r="D241" s="121"/>
      <c r="E241" s="106"/>
      <c r="F241" s="16" t="s">
        <v>15</v>
      </c>
      <c r="G241" s="26">
        <f>H241+I241+J241+K241+L241</f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82"/>
    </row>
    <row r="242" spans="1:13" ht="21.75" customHeight="1">
      <c r="A242" s="101" t="s">
        <v>72</v>
      </c>
      <c r="B242" s="98" t="s">
        <v>111</v>
      </c>
      <c r="C242" s="101" t="s">
        <v>125</v>
      </c>
      <c r="D242" s="119" t="s">
        <v>124</v>
      </c>
      <c r="E242" s="101" t="s">
        <v>106</v>
      </c>
      <c r="F242" s="16" t="s">
        <v>12</v>
      </c>
      <c r="G242" s="26">
        <f aca="true" t="shared" si="68" ref="G242:L242">G243+G244+G245</f>
        <v>1000000</v>
      </c>
      <c r="H242" s="26">
        <f t="shared" si="68"/>
        <v>200000</v>
      </c>
      <c r="I242" s="26">
        <f t="shared" si="68"/>
        <v>200000</v>
      </c>
      <c r="J242" s="26">
        <f t="shared" si="68"/>
        <v>200000</v>
      </c>
      <c r="K242" s="26">
        <f t="shared" si="68"/>
        <v>200000</v>
      </c>
      <c r="L242" s="26">
        <f t="shared" si="68"/>
        <v>200000</v>
      </c>
      <c r="M242" s="82"/>
    </row>
    <row r="243" spans="1:13" ht="21.75" customHeight="1">
      <c r="A243" s="102"/>
      <c r="B243" s="99"/>
      <c r="C243" s="102"/>
      <c r="D243" s="120"/>
      <c r="E243" s="102"/>
      <c r="F243" s="16" t="s">
        <v>13</v>
      </c>
      <c r="G243" s="26">
        <f>H243+I243+J243+K243+L243</f>
        <v>1000000</v>
      </c>
      <c r="H243" s="26">
        <v>200000</v>
      </c>
      <c r="I243" s="26">
        <v>200000</v>
      </c>
      <c r="J243" s="26">
        <v>200000</v>
      </c>
      <c r="K243" s="26">
        <v>200000</v>
      </c>
      <c r="L243" s="26">
        <v>200000</v>
      </c>
      <c r="M243" s="82"/>
    </row>
    <row r="244" spans="1:13" ht="21.75" customHeight="1">
      <c r="A244" s="102"/>
      <c r="B244" s="99"/>
      <c r="C244" s="102"/>
      <c r="D244" s="120"/>
      <c r="E244" s="102"/>
      <c r="F244" s="16" t="s">
        <v>14</v>
      </c>
      <c r="G244" s="26">
        <f>H244+I244+J244+K244+L244</f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82"/>
    </row>
    <row r="245" spans="1:13" ht="21.75" customHeight="1">
      <c r="A245" s="106"/>
      <c r="B245" s="100"/>
      <c r="C245" s="102"/>
      <c r="D245" s="121"/>
      <c r="E245" s="106"/>
      <c r="F245" s="16" t="s">
        <v>15</v>
      </c>
      <c r="G245" s="26">
        <f>H245+I245+J245+K245+L245</f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82"/>
    </row>
    <row r="246" spans="1:13" ht="21.75" customHeight="1">
      <c r="A246" s="116" t="s">
        <v>73</v>
      </c>
      <c r="B246" s="98" t="s">
        <v>89</v>
      </c>
      <c r="C246" s="101" t="s">
        <v>125</v>
      </c>
      <c r="D246" s="119" t="s">
        <v>124</v>
      </c>
      <c r="E246" s="101" t="s">
        <v>106</v>
      </c>
      <c r="F246" s="16" t="s">
        <v>12</v>
      </c>
      <c r="G246" s="26">
        <f aca="true" t="shared" si="69" ref="G246:L246">G247+G248+G249</f>
        <v>240000</v>
      </c>
      <c r="H246" s="26">
        <f t="shared" si="69"/>
        <v>40000</v>
      </c>
      <c r="I246" s="26">
        <f t="shared" si="69"/>
        <v>50000</v>
      </c>
      <c r="J246" s="26">
        <f t="shared" si="69"/>
        <v>50000</v>
      </c>
      <c r="K246" s="26">
        <f t="shared" si="69"/>
        <v>50000</v>
      </c>
      <c r="L246" s="26">
        <f t="shared" si="69"/>
        <v>50000</v>
      </c>
      <c r="M246" s="82"/>
    </row>
    <row r="247" spans="1:13" ht="21.75" customHeight="1">
      <c r="A247" s="117"/>
      <c r="B247" s="99"/>
      <c r="C247" s="102"/>
      <c r="D247" s="120"/>
      <c r="E247" s="102"/>
      <c r="F247" s="16" t="s">
        <v>13</v>
      </c>
      <c r="G247" s="26">
        <f>H247+I247+J247+K247+L247</f>
        <v>240000</v>
      </c>
      <c r="H247" s="26">
        <v>40000</v>
      </c>
      <c r="I247" s="26">
        <v>50000</v>
      </c>
      <c r="J247" s="26">
        <v>50000</v>
      </c>
      <c r="K247" s="26">
        <v>50000</v>
      </c>
      <c r="L247" s="26">
        <v>50000</v>
      </c>
      <c r="M247" s="82"/>
    </row>
    <row r="248" spans="1:13" ht="21.75" customHeight="1">
      <c r="A248" s="117"/>
      <c r="B248" s="99"/>
      <c r="C248" s="102"/>
      <c r="D248" s="120"/>
      <c r="E248" s="102"/>
      <c r="F248" s="16" t="s">
        <v>14</v>
      </c>
      <c r="G248" s="26">
        <f>H248+I248+J248+K248+L248</f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82"/>
    </row>
    <row r="249" spans="1:13" ht="21.75" customHeight="1">
      <c r="A249" s="118"/>
      <c r="B249" s="100"/>
      <c r="C249" s="102"/>
      <c r="D249" s="121"/>
      <c r="E249" s="106"/>
      <c r="F249" s="16" t="s">
        <v>15</v>
      </c>
      <c r="G249" s="26">
        <f>H249+I249+J249+K249+L249</f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82"/>
    </row>
    <row r="250" spans="1:13" ht="21.75" customHeight="1" hidden="1" outlineLevel="1">
      <c r="A250" s="116" t="s">
        <v>85</v>
      </c>
      <c r="B250" s="98" t="s">
        <v>70</v>
      </c>
      <c r="C250" s="101" t="s">
        <v>125</v>
      </c>
      <c r="D250" s="101"/>
      <c r="E250" s="101" t="s">
        <v>106</v>
      </c>
      <c r="F250" s="16" t="s">
        <v>12</v>
      </c>
      <c r="G250" s="26">
        <f aca="true" t="shared" si="70" ref="G250:L250">G251+G252+G253</f>
        <v>0</v>
      </c>
      <c r="H250" s="26">
        <f t="shared" si="70"/>
        <v>0</v>
      </c>
      <c r="I250" s="26">
        <f t="shared" si="70"/>
        <v>0</v>
      </c>
      <c r="J250" s="26">
        <f t="shared" si="70"/>
        <v>0</v>
      </c>
      <c r="K250" s="26">
        <f t="shared" si="70"/>
        <v>0</v>
      </c>
      <c r="L250" s="26">
        <f t="shared" si="70"/>
        <v>0</v>
      </c>
      <c r="M250" s="82"/>
    </row>
    <row r="251" spans="1:13" ht="21.75" customHeight="1" hidden="1" outlineLevel="1">
      <c r="A251" s="117"/>
      <c r="B251" s="99"/>
      <c r="C251" s="102"/>
      <c r="D251" s="102"/>
      <c r="E251" s="102"/>
      <c r="F251" s="16" t="s">
        <v>13</v>
      </c>
      <c r="G251" s="26">
        <f>H251+I251+J251+K251+L251</f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82"/>
    </row>
    <row r="252" spans="1:13" ht="21.75" customHeight="1" hidden="1" outlineLevel="1">
      <c r="A252" s="117"/>
      <c r="B252" s="99"/>
      <c r="C252" s="102"/>
      <c r="D252" s="102"/>
      <c r="E252" s="102"/>
      <c r="F252" s="16" t="s">
        <v>14</v>
      </c>
      <c r="G252" s="26">
        <f>H252+I252+J252+K252+L252</f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82"/>
    </row>
    <row r="253" spans="1:13" ht="21.75" customHeight="1" hidden="1" outlineLevel="1">
      <c r="A253" s="118"/>
      <c r="B253" s="100"/>
      <c r="C253" s="102"/>
      <c r="D253" s="106"/>
      <c r="E253" s="106"/>
      <c r="F253" s="16" t="s">
        <v>15</v>
      </c>
      <c r="G253" s="26">
        <f>H253+I253+J253+K253+L253</f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82"/>
    </row>
    <row r="254" spans="1:13" ht="21.75" customHeight="1" hidden="1" outlineLevel="1">
      <c r="A254" s="116" t="s">
        <v>112</v>
      </c>
      <c r="B254" s="98" t="s">
        <v>91</v>
      </c>
      <c r="C254" s="101" t="s">
        <v>125</v>
      </c>
      <c r="D254" s="101"/>
      <c r="E254" s="101" t="s">
        <v>106</v>
      </c>
      <c r="F254" s="16" t="s">
        <v>12</v>
      </c>
      <c r="G254" s="26">
        <f aca="true" t="shared" si="71" ref="G254:L254">G255+G256+G257</f>
        <v>0</v>
      </c>
      <c r="H254" s="26">
        <f t="shared" si="71"/>
        <v>0</v>
      </c>
      <c r="I254" s="26">
        <f t="shared" si="71"/>
        <v>0</v>
      </c>
      <c r="J254" s="26">
        <f t="shared" si="71"/>
        <v>0</v>
      </c>
      <c r="K254" s="26">
        <f t="shared" si="71"/>
        <v>0</v>
      </c>
      <c r="L254" s="26">
        <f t="shared" si="71"/>
        <v>0</v>
      </c>
      <c r="M254" s="82"/>
    </row>
    <row r="255" spans="1:13" ht="21.75" customHeight="1" hidden="1" outlineLevel="1">
      <c r="A255" s="117"/>
      <c r="B255" s="99"/>
      <c r="C255" s="102"/>
      <c r="D255" s="102"/>
      <c r="E255" s="102"/>
      <c r="F255" s="16" t="s">
        <v>13</v>
      </c>
      <c r="G255" s="26">
        <f>H255+I255+J255+K255+L255</f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82"/>
    </row>
    <row r="256" spans="1:13" ht="21.75" customHeight="1" hidden="1" outlineLevel="1">
      <c r="A256" s="117"/>
      <c r="B256" s="99"/>
      <c r="C256" s="102"/>
      <c r="D256" s="102"/>
      <c r="E256" s="102"/>
      <c r="F256" s="16" t="s">
        <v>14</v>
      </c>
      <c r="G256" s="26">
        <f>H256+I256+J256+K256+L256</f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82"/>
    </row>
    <row r="257" spans="1:13" ht="21.75" customHeight="1" hidden="1" outlineLevel="1">
      <c r="A257" s="118"/>
      <c r="B257" s="100"/>
      <c r="C257" s="102"/>
      <c r="D257" s="106"/>
      <c r="E257" s="106"/>
      <c r="F257" s="16" t="s">
        <v>15</v>
      </c>
      <c r="G257" s="26">
        <f>H257+I257+J257+K257+L257</f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82"/>
    </row>
    <row r="258" spans="1:13" ht="21.75" customHeight="1" hidden="1" outlineLevel="1">
      <c r="A258" s="64"/>
      <c r="B258" s="98" t="s">
        <v>105</v>
      </c>
      <c r="C258" s="101" t="s">
        <v>125</v>
      </c>
      <c r="D258" s="101"/>
      <c r="E258" s="101" t="s">
        <v>106</v>
      </c>
      <c r="F258" s="16" t="s">
        <v>12</v>
      </c>
      <c r="G258" s="26">
        <f aca="true" t="shared" si="72" ref="G258:L258">G259+G260+G261</f>
        <v>0</v>
      </c>
      <c r="H258" s="26">
        <f t="shared" si="72"/>
        <v>0</v>
      </c>
      <c r="I258" s="26">
        <f t="shared" si="72"/>
        <v>0</v>
      </c>
      <c r="J258" s="26">
        <f t="shared" si="72"/>
        <v>0</v>
      </c>
      <c r="K258" s="26">
        <f t="shared" si="72"/>
        <v>0</v>
      </c>
      <c r="L258" s="26">
        <f t="shared" si="72"/>
        <v>0</v>
      </c>
      <c r="M258" s="82"/>
    </row>
    <row r="259" spans="1:13" ht="21.75" customHeight="1" hidden="1" outlineLevel="1">
      <c r="A259" s="64" t="s">
        <v>113</v>
      </c>
      <c r="B259" s="99"/>
      <c r="C259" s="102"/>
      <c r="D259" s="102"/>
      <c r="E259" s="102"/>
      <c r="F259" s="16" t="s">
        <v>13</v>
      </c>
      <c r="G259" s="27">
        <f>H259+I259+J259+K259+L259</f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82"/>
    </row>
    <row r="260" spans="1:13" ht="21.75" customHeight="1" hidden="1" outlineLevel="1">
      <c r="A260" s="64"/>
      <c r="B260" s="99"/>
      <c r="C260" s="102"/>
      <c r="D260" s="102"/>
      <c r="E260" s="102"/>
      <c r="F260" s="16" t="s">
        <v>14</v>
      </c>
      <c r="G260" s="27">
        <f>H260+I260+J260+K260+L260</f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82"/>
    </row>
    <row r="261" spans="1:13" ht="21.75" customHeight="1" hidden="1" outlineLevel="1">
      <c r="A261" s="64"/>
      <c r="B261" s="100"/>
      <c r="C261" s="102"/>
      <c r="D261" s="106"/>
      <c r="E261" s="106"/>
      <c r="F261" s="16" t="s">
        <v>15</v>
      </c>
      <c r="G261" s="27">
        <f>H261+I261+J261+K261+L261</f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122"/>
    </row>
    <row r="262" spans="1:13" ht="21.75" customHeight="1" collapsed="1">
      <c r="A262" s="107">
        <v>5</v>
      </c>
      <c r="B262" s="110" t="s">
        <v>152</v>
      </c>
      <c r="C262" s="113" t="s">
        <v>125</v>
      </c>
      <c r="D262" s="45"/>
      <c r="E262" s="113" t="s">
        <v>106</v>
      </c>
      <c r="F262" s="39" t="s">
        <v>12</v>
      </c>
      <c r="G262" s="40">
        <f aca="true" t="shared" si="73" ref="G262:L262">G263+G264+G265</f>
        <v>70520420.16</v>
      </c>
      <c r="H262" s="40">
        <f t="shared" si="73"/>
        <v>13370422.13</v>
      </c>
      <c r="I262" s="40">
        <f t="shared" si="73"/>
        <v>13699325.03</v>
      </c>
      <c r="J262" s="40">
        <f t="shared" si="73"/>
        <v>14738271</v>
      </c>
      <c r="K262" s="40">
        <f t="shared" si="73"/>
        <v>14288224</v>
      </c>
      <c r="L262" s="40">
        <f t="shared" si="73"/>
        <v>14424178</v>
      </c>
      <c r="M262" s="68"/>
    </row>
    <row r="263" spans="1:13" ht="21.75" customHeight="1">
      <c r="A263" s="108"/>
      <c r="B263" s="111"/>
      <c r="C263" s="114"/>
      <c r="D263" s="46"/>
      <c r="E263" s="114"/>
      <c r="F263" s="39" t="s">
        <v>13</v>
      </c>
      <c r="G263" s="40">
        <f>H263+I263+J263+K263+L263</f>
        <v>70520420.16</v>
      </c>
      <c r="H263" s="40">
        <f aca="true" t="shared" si="74" ref="H263:L265">H267</f>
        <v>13370422.13</v>
      </c>
      <c r="I263" s="40">
        <f t="shared" si="74"/>
        <v>13699325.03</v>
      </c>
      <c r="J263" s="40">
        <f t="shared" si="74"/>
        <v>14738271</v>
      </c>
      <c r="K263" s="40">
        <f t="shared" si="74"/>
        <v>14288224</v>
      </c>
      <c r="L263" s="40">
        <f t="shared" si="74"/>
        <v>14424178</v>
      </c>
      <c r="M263" s="68"/>
    </row>
    <row r="264" spans="1:13" ht="21.75" customHeight="1">
      <c r="A264" s="108"/>
      <c r="B264" s="111"/>
      <c r="C264" s="114"/>
      <c r="D264" s="46"/>
      <c r="E264" s="114"/>
      <c r="F264" s="39" t="s">
        <v>14</v>
      </c>
      <c r="G264" s="40">
        <f>H264+I264+J264+K264+L264</f>
        <v>0</v>
      </c>
      <c r="H264" s="40">
        <f t="shared" si="74"/>
        <v>0</v>
      </c>
      <c r="I264" s="40">
        <f t="shared" si="74"/>
        <v>0</v>
      </c>
      <c r="J264" s="40">
        <f t="shared" si="74"/>
        <v>0</v>
      </c>
      <c r="K264" s="40">
        <f t="shared" si="74"/>
        <v>0</v>
      </c>
      <c r="L264" s="40">
        <f t="shared" si="74"/>
        <v>0</v>
      </c>
      <c r="M264" s="68"/>
    </row>
    <row r="265" spans="1:13" ht="21.75" customHeight="1">
      <c r="A265" s="109"/>
      <c r="B265" s="112"/>
      <c r="C265" s="115"/>
      <c r="D265" s="47"/>
      <c r="E265" s="115"/>
      <c r="F265" s="39" t="s">
        <v>15</v>
      </c>
      <c r="G265" s="40">
        <f>H265+I265+J265+K265+L265</f>
        <v>0</v>
      </c>
      <c r="H265" s="40">
        <f t="shared" si="74"/>
        <v>0</v>
      </c>
      <c r="I265" s="40">
        <f t="shared" si="74"/>
        <v>0</v>
      </c>
      <c r="J265" s="40">
        <f t="shared" si="74"/>
        <v>0</v>
      </c>
      <c r="K265" s="40">
        <f t="shared" si="74"/>
        <v>0</v>
      </c>
      <c r="L265" s="40">
        <f t="shared" si="74"/>
        <v>0</v>
      </c>
      <c r="M265" s="68"/>
    </row>
    <row r="266" spans="1:13" ht="21.75" customHeight="1">
      <c r="A266" s="116" t="s">
        <v>74</v>
      </c>
      <c r="B266" s="98" t="s">
        <v>79</v>
      </c>
      <c r="C266" s="101" t="s">
        <v>125</v>
      </c>
      <c r="D266" s="101" t="s">
        <v>143</v>
      </c>
      <c r="E266" s="101" t="s">
        <v>106</v>
      </c>
      <c r="F266" s="16" t="s">
        <v>12</v>
      </c>
      <c r="G266" s="26">
        <f aca="true" t="shared" si="75" ref="G266:L266">G267+G268+G269</f>
        <v>70520420.16</v>
      </c>
      <c r="H266" s="26">
        <f t="shared" si="75"/>
        <v>13370422.13</v>
      </c>
      <c r="I266" s="26">
        <f t="shared" si="75"/>
        <v>13699325.03</v>
      </c>
      <c r="J266" s="26">
        <f t="shared" si="75"/>
        <v>14738271</v>
      </c>
      <c r="K266" s="26">
        <f t="shared" si="75"/>
        <v>14288224</v>
      </c>
      <c r="L266" s="26">
        <f t="shared" si="75"/>
        <v>14424178</v>
      </c>
      <c r="M266" s="81" t="s">
        <v>80</v>
      </c>
    </row>
    <row r="267" spans="1:13" ht="21.75" customHeight="1">
      <c r="A267" s="117"/>
      <c r="B267" s="99"/>
      <c r="C267" s="102"/>
      <c r="D267" s="102"/>
      <c r="E267" s="102"/>
      <c r="F267" s="16" t="s">
        <v>13</v>
      </c>
      <c r="G267" s="26">
        <f>H267+I267+J267+K267+L267</f>
        <v>70520420.16</v>
      </c>
      <c r="H267" s="26">
        <f>13390422.13-20000</f>
        <v>13370422.13</v>
      </c>
      <c r="I267" s="26">
        <v>13699325.03</v>
      </c>
      <c r="J267" s="26">
        <f>14153616+449044+135611</f>
        <v>14738271</v>
      </c>
      <c r="K267" s="26">
        <f>14288224</f>
        <v>14288224</v>
      </c>
      <c r="L267" s="26">
        <f>14424178</f>
        <v>14424178</v>
      </c>
      <c r="M267" s="82"/>
    </row>
    <row r="268" spans="1:13" ht="21.75" customHeight="1">
      <c r="A268" s="117"/>
      <c r="B268" s="99"/>
      <c r="C268" s="102"/>
      <c r="D268" s="102"/>
      <c r="E268" s="102"/>
      <c r="F268" s="16" t="s">
        <v>14</v>
      </c>
      <c r="G268" s="26">
        <f>H268+I268+J268+K268+L268</f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82"/>
    </row>
    <row r="269" spans="1:13" ht="21.75" customHeight="1">
      <c r="A269" s="118"/>
      <c r="B269" s="100"/>
      <c r="C269" s="106"/>
      <c r="D269" s="106"/>
      <c r="E269" s="106"/>
      <c r="F269" s="16" t="s">
        <v>15</v>
      </c>
      <c r="G269" s="26">
        <f>H269+I269+J269+K269+L269</f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82"/>
    </row>
    <row r="270" spans="1:13" ht="23.25" customHeight="1">
      <c r="A270" s="107">
        <v>6</v>
      </c>
      <c r="B270" s="110" t="s">
        <v>205</v>
      </c>
      <c r="C270" s="113" t="s">
        <v>125</v>
      </c>
      <c r="D270" s="45"/>
      <c r="E270" s="113" t="s">
        <v>106</v>
      </c>
      <c r="F270" s="39" t="s">
        <v>12</v>
      </c>
      <c r="G270" s="40">
        <f aca="true" t="shared" si="76" ref="G270:L270">G271+G272+G273</f>
        <v>388404</v>
      </c>
      <c r="H270" s="40">
        <f t="shared" si="76"/>
        <v>0</v>
      </c>
      <c r="I270" s="40">
        <f t="shared" si="76"/>
        <v>0</v>
      </c>
      <c r="J270" s="40">
        <f t="shared" si="76"/>
        <v>176000</v>
      </c>
      <c r="K270" s="40">
        <f t="shared" si="76"/>
        <v>106202</v>
      </c>
      <c r="L270" s="40">
        <f t="shared" si="76"/>
        <v>106202</v>
      </c>
      <c r="M270" s="68"/>
    </row>
    <row r="271" spans="1:13" ht="23.25" customHeight="1">
      <c r="A271" s="108"/>
      <c r="B271" s="178"/>
      <c r="C271" s="114"/>
      <c r="D271" s="46"/>
      <c r="E271" s="114"/>
      <c r="F271" s="39" t="s">
        <v>13</v>
      </c>
      <c r="G271" s="40">
        <f>H271+I271+J271+K271+L271</f>
        <v>158400</v>
      </c>
      <c r="H271" s="40">
        <f aca="true" t="shared" si="77" ref="H271:L273">H275</f>
        <v>0</v>
      </c>
      <c r="I271" s="40">
        <f t="shared" si="77"/>
        <v>0</v>
      </c>
      <c r="J271" s="40">
        <f t="shared" si="77"/>
        <v>52800</v>
      </c>
      <c r="K271" s="40">
        <f t="shared" si="77"/>
        <v>52800</v>
      </c>
      <c r="L271" s="40">
        <f t="shared" si="77"/>
        <v>52800</v>
      </c>
      <c r="M271" s="68"/>
    </row>
    <row r="272" spans="1:13" ht="23.25" customHeight="1">
      <c r="A272" s="108"/>
      <c r="B272" s="178"/>
      <c r="C272" s="114"/>
      <c r="D272" s="46"/>
      <c r="E272" s="114"/>
      <c r="F272" s="39" t="s">
        <v>14</v>
      </c>
      <c r="G272" s="40">
        <f>H272+I272+J272+K272+L272</f>
        <v>230004</v>
      </c>
      <c r="H272" s="40">
        <f t="shared" si="77"/>
        <v>0</v>
      </c>
      <c r="I272" s="40">
        <f t="shared" si="77"/>
        <v>0</v>
      </c>
      <c r="J272" s="40">
        <f t="shared" si="77"/>
        <v>123200</v>
      </c>
      <c r="K272" s="40">
        <f t="shared" si="77"/>
        <v>53402</v>
      </c>
      <c r="L272" s="40">
        <f t="shared" si="77"/>
        <v>53402</v>
      </c>
      <c r="M272" s="68"/>
    </row>
    <row r="273" spans="1:13" ht="27" customHeight="1">
      <c r="A273" s="109"/>
      <c r="B273" s="179"/>
      <c r="C273" s="115"/>
      <c r="D273" s="47"/>
      <c r="E273" s="115"/>
      <c r="F273" s="39" t="s">
        <v>15</v>
      </c>
      <c r="G273" s="40">
        <f>H273+I273+J273+K273+L273</f>
        <v>0</v>
      </c>
      <c r="H273" s="40">
        <f t="shared" si="77"/>
        <v>0</v>
      </c>
      <c r="I273" s="40">
        <f t="shared" si="77"/>
        <v>0</v>
      </c>
      <c r="J273" s="40">
        <f t="shared" si="77"/>
        <v>0</v>
      </c>
      <c r="K273" s="40">
        <f t="shared" si="77"/>
        <v>0</v>
      </c>
      <c r="L273" s="40">
        <f t="shared" si="77"/>
        <v>0</v>
      </c>
      <c r="M273" s="68"/>
    </row>
    <row r="274" spans="1:13" ht="21.75" customHeight="1">
      <c r="A274" s="116" t="s">
        <v>196</v>
      </c>
      <c r="B274" s="98" t="s">
        <v>195</v>
      </c>
      <c r="C274" s="101" t="s">
        <v>125</v>
      </c>
      <c r="D274" s="101" t="s">
        <v>143</v>
      </c>
      <c r="E274" s="101" t="s">
        <v>106</v>
      </c>
      <c r="F274" s="16" t="s">
        <v>12</v>
      </c>
      <c r="G274" s="26">
        <f aca="true" t="shared" si="78" ref="G274:L274">G275+G276+G277</f>
        <v>388404</v>
      </c>
      <c r="H274" s="26">
        <f t="shared" si="78"/>
        <v>0</v>
      </c>
      <c r="I274" s="26">
        <f t="shared" si="78"/>
        <v>0</v>
      </c>
      <c r="J274" s="26">
        <f t="shared" si="78"/>
        <v>176000</v>
      </c>
      <c r="K274" s="26">
        <f t="shared" si="78"/>
        <v>106202</v>
      </c>
      <c r="L274" s="26">
        <f t="shared" si="78"/>
        <v>106202</v>
      </c>
      <c r="M274" s="157" t="s">
        <v>204</v>
      </c>
    </row>
    <row r="275" spans="1:13" ht="21.75" customHeight="1">
      <c r="A275" s="117"/>
      <c r="B275" s="99"/>
      <c r="C275" s="102"/>
      <c r="D275" s="102"/>
      <c r="E275" s="102"/>
      <c r="F275" s="16" t="s">
        <v>13</v>
      </c>
      <c r="G275" s="26">
        <f>H275+I275+J275+K275+L275</f>
        <v>158400</v>
      </c>
      <c r="H275" s="26">
        <v>0</v>
      </c>
      <c r="I275" s="26">
        <v>0</v>
      </c>
      <c r="J275" s="26">
        <f>176000-123200</f>
        <v>52800</v>
      </c>
      <c r="K275" s="26">
        <f>106202-53402</f>
        <v>52800</v>
      </c>
      <c r="L275" s="26">
        <f>106202-53402</f>
        <v>52800</v>
      </c>
      <c r="M275" s="158"/>
    </row>
    <row r="276" spans="1:13" ht="21.75" customHeight="1">
      <c r="A276" s="117"/>
      <c r="B276" s="99"/>
      <c r="C276" s="102"/>
      <c r="D276" s="102"/>
      <c r="E276" s="102"/>
      <c r="F276" s="16" t="s">
        <v>14</v>
      </c>
      <c r="G276" s="26">
        <f>H276+I276+J276+K276+L276</f>
        <v>230004</v>
      </c>
      <c r="H276" s="26">
        <v>0</v>
      </c>
      <c r="I276" s="26">
        <v>0</v>
      </c>
      <c r="J276" s="26">
        <v>123200</v>
      </c>
      <c r="K276" s="26">
        <v>53402</v>
      </c>
      <c r="L276" s="26">
        <v>53402</v>
      </c>
      <c r="M276" s="158"/>
    </row>
    <row r="277" spans="1:13" ht="21.75" customHeight="1">
      <c r="A277" s="118"/>
      <c r="B277" s="100"/>
      <c r="C277" s="106"/>
      <c r="D277" s="106"/>
      <c r="E277" s="106"/>
      <c r="F277" s="16" t="s">
        <v>15</v>
      </c>
      <c r="G277" s="26">
        <f>H277+I277+J277+K277+L277</f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158"/>
    </row>
    <row r="278" spans="1:13" ht="21.75" customHeight="1">
      <c r="A278" s="107">
        <v>7</v>
      </c>
      <c r="B278" s="110" t="s">
        <v>201</v>
      </c>
      <c r="C278" s="113" t="s">
        <v>125</v>
      </c>
      <c r="D278" s="45"/>
      <c r="E278" s="113" t="s">
        <v>106</v>
      </c>
      <c r="F278" s="39" t="s">
        <v>12</v>
      </c>
      <c r="G278" s="40">
        <f aca="true" t="shared" si="79" ref="G278:L278">G279+G280+G281</f>
        <v>100000</v>
      </c>
      <c r="H278" s="40">
        <f t="shared" si="79"/>
        <v>0</v>
      </c>
      <c r="I278" s="40">
        <f t="shared" si="79"/>
        <v>0</v>
      </c>
      <c r="J278" s="40">
        <f t="shared" si="79"/>
        <v>100000</v>
      </c>
      <c r="K278" s="40">
        <f t="shared" si="79"/>
        <v>0</v>
      </c>
      <c r="L278" s="40">
        <f t="shared" si="79"/>
        <v>0</v>
      </c>
      <c r="M278" s="68"/>
    </row>
    <row r="279" spans="1:13" ht="21.75" customHeight="1">
      <c r="A279" s="108"/>
      <c r="B279" s="111"/>
      <c r="C279" s="114"/>
      <c r="D279" s="46"/>
      <c r="E279" s="114"/>
      <c r="F279" s="39" t="s">
        <v>13</v>
      </c>
      <c r="G279" s="40">
        <f>H279+I279+J279+K279+L279</f>
        <v>100000</v>
      </c>
      <c r="H279" s="40">
        <f aca="true" t="shared" si="80" ref="H279:L281">H283</f>
        <v>0</v>
      </c>
      <c r="I279" s="40">
        <f t="shared" si="80"/>
        <v>0</v>
      </c>
      <c r="J279" s="40">
        <f t="shared" si="80"/>
        <v>100000</v>
      </c>
      <c r="K279" s="40">
        <f t="shared" si="80"/>
        <v>0</v>
      </c>
      <c r="L279" s="40">
        <f t="shared" si="80"/>
        <v>0</v>
      </c>
      <c r="M279" s="68"/>
    </row>
    <row r="280" spans="1:13" ht="21.75" customHeight="1">
      <c r="A280" s="108"/>
      <c r="B280" s="111"/>
      <c r="C280" s="114"/>
      <c r="D280" s="46"/>
      <c r="E280" s="114"/>
      <c r="F280" s="39" t="s">
        <v>14</v>
      </c>
      <c r="G280" s="40">
        <f>H280+I280+J280+K280+L280</f>
        <v>0</v>
      </c>
      <c r="H280" s="40">
        <f t="shared" si="80"/>
        <v>0</v>
      </c>
      <c r="I280" s="40">
        <f t="shared" si="80"/>
        <v>0</v>
      </c>
      <c r="J280" s="40">
        <f t="shared" si="80"/>
        <v>0</v>
      </c>
      <c r="K280" s="40">
        <f t="shared" si="80"/>
        <v>0</v>
      </c>
      <c r="L280" s="40">
        <f t="shared" si="80"/>
        <v>0</v>
      </c>
      <c r="M280" s="68"/>
    </row>
    <row r="281" spans="1:13" ht="21.75" customHeight="1">
      <c r="A281" s="109"/>
      <c r="B281" s="112"/>
      <c r="C281" s="115"/>
      <c r="D281" s="47"/>
      <c r="E281" s="115"/>
      <c r="F281" s="39" t="s">
        <v>15</v>
      </c>
      <c r="G281" s="40">
        <f>H281+I281+J281+K281+L281</f>
        <v>0</v>
      </c>
      <c r="H281" s="40">
        <f t="shared" si="80"/>
        <v>0</v>
      </c>
      <c r="I281" s="40">
        <f t="shared" si="80"/>
        <v>0</v>
      </c>
      <c r="J281" s="40">
        <f t="shared" si="80"/>
        <v>0</v>
      </c>
      <c r="K281" s="40">
        <f t="shared" si="80"/>
        <v>0</v>
      </c>
      <c r="L281" s="40">
        <f t="shared" si="80"/>
        <v>0</v>
      </c>
      <c r="M281" s="68"/>
    </row>
    <row r="282" spans="1:13" ht="30.75" customHeight="1">
      <c r="A282" s="116" t="s">
        <v>198</v>
      </c>
      <c r="B282" s="98" t="s">
        <v>197</v>
      </c>
      <c r="C282" s="101" t="s">
        <v>125</v>
      </c>
      <c r="D282" s="101" t="s">
        <v>143</v>
      </c>
      <c r="E282" s="101" t="s">
        <v>106</v>
      </c>
      <c r="F282" s="16" t="s">
        <v>12</v>
      </c>
      <c r="G282" s="26">
        <f aca="true" t="shared" si="81" ref="G282:L282">G283+G284+G285</f>
        <v>100000</v>
      </c>
      <c r="H282" s="26">
        <f t="shared" si="81"/>
        <v>0</v>
      </c>
      <c r="I282" s="26">
        <f t="shared" si="81"/>
        <v>0</v>
      </c>
      <c r="J282" s="26">
        <f t="shared" si="81"/>
        <v>100000</v>
      </c>
      <c r="K282" s="26">
        <f t="shared" si="81"/>
        <v>0</v>
      </c>
      <c r="L282" s="26">
        <f t="shared" si="81"/>
        <v>0</v>
      </c>
      <c r="M282" s="180" t="s">
        <v>203</v>
      </c>
    </row>
    <row r="283" spans="1:13" ht="30.75" customHeight="1">
      <c r="A283" s="117"/>
      <c r="B283" s="99"/>
      <c r="C283" s="102"/>
      <c r="D283" s="102"/>
      <c r="E283" s="102"/>
      <c r="F283" s="16" t="s">
        <v>13</v>
      </c>
      <c r="G283" s="26">
        <f>H283+I283+J283+K283+L283</f>
        <v>100000</v>
      </c>
      <c r="H283" s="26">
        <v>0</v>
      </c>
      <c r="I283" s="26">
        <v>0</v>
      </c>
      <c r="J283" s="26">
        <v>100000</v>
      </c>
      <c r="K283" s="26">
        <v>0</v>
      </c>
      <c r="L283" s="26">
        <v>0</v>
      </c>
      <c r="M283" s="181"/>
    </row>
    <row r="284" spans="1:13" ht="30.75" customHeight="1">
      <c r="A284" s="117"/>
      <c r="B284" s="99"/>
      <c r="C284" s="102"/>
      <c r="D284" s="102"/>
      <c r="E284" s="102"/>
      <c r="F284" s="16" t="s">
        <v>14</v>
      </c>
      <c r="G284" s="26">
        <f>H284+I284+J284+K284+L284</f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181"/>
    </row>
    <row r="285" spans="1:13" ht="30.75" customHeight="1">
      <c r="A285" s="118"/>
      <c r="B285" s="100"/>
      <c r="C285" s="106"/>
      <c r="D285" s="106"/>
      <c r="E285" s="106"/>
      <c r="F285" s="16" t="s">
        <v>15</v>
      </c>
      <c r="G285" s="26">
        <f>H285+I285+J285+K285+L285</f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181"/>
    </row>
    <row r="286" spans="1:13" ht="21.75" customHeight="1">
      <c r="A286" s="83" t="s">
        <v>75</v>
      </c>
      <c r="B286" s="86" t="s">
        <v>76</v>
      </c>
      <c r="C286" s="87"/>
      <c r="D286" s="87"/>
      <c r="E286" s="88"/>
      <c r="F286" s="55" t="s">
        <v>12</v>
      </c>
      <c r="G286" s="56">
        <f aca="true" t="shared" si="82" ref="G286:L286">G287+G288+G289</f>
        <v>5298878952.69</v>
      </c>
      <c r="H286" s="56">
        <f t="shared" si="82"/>
        <v>952111245</v>
      </c>
      <c r="I286" s="56">
        <f t="shared" si="82"/>
        <v>1061957868.3599999</v>
      </c>
      <c r="J286" s="56">
        <f t="shared" si="82"/>
        <v>1159254257.2</v>
      </c>
      <c r="K286" s="56">
        <f t="shared" si="82"/>
        <v>1069134834.1</v>
      </c>
      <c r="L286" s="56">
        <f t="shared" si="82"/>
        <v>1056420748.03</v>
      </c>
      <c r="M286" s="68"/>
    </row>
    <row r="287" spans="1:13" ht="21.75" customHeight="1">
      <c r="A287" s="84"/>
      <c r="B287" s="89"/>
      <c r="C287" s="90"/>
      <c r="D287" s="90"/>
      <c r="E287" s="91"/>
      <c r="F287" s="55" t="s">
        <v>13</v>
      </c>
      <c r="G287" s="56">
        <f>H287+I287+J287+K287+L287</f>
        <v>1384213200.1399999</v>
      </c>
      <c r="H287" s="56">
        <f aca="true" t="shared" si="83" ref="H287:L289">H279+H231+H207+H167+H11+H263+H271</f>
        <v>257261460.35</v>
      </c>
      <c r="I287" s="56">
        <f t="shared" si="83"/>
        <v>274006749.57</v>
      </c>
      <c r="J287" s="56">
        <f t="shared" si="83"/>
        <v>292335257.13</v>
      </c>
      <c r="K287" s="56">
        <f t="shared" si="83"/>
        <v>281447941.77</v>
      </c>
      <c r="L287" s="56">
        <f t="shared" si="83"/>
        <v>279161791.32</v>
      </c>
      <c r="M287" s="68"/>
    </row>
    <row r="288" spans="1:13" ht="21.75" customHeight="1">
      <c r="A288" s="84"/>
      <c r="B288" s="89"/>
      <c r="C288" s="90"/>
      <c r="D288" s="90"/>
      <c r="E288" s="91"/>
      <c r="F288" s="55" t="s">
        <v>14</v>
      </c>
      <c r="G288" s="56">
        <f>H288+I288+J288+K288+L288</f>
        <v>3544710016.09</v>
      </c>
      <c r="H288" s="56">
        <f t="shared" si="83"/>
        <v>674427650.65</v>
      </c>
      <c r="I288" s="56">
        <f t="shared" si="83"/>
        <v>721973504.3299999</v>
      </c>
      <c r="J288" s="56">
        <f t="shared" si="83"/>
        <v>692988132.07</v>
      </c>
      <c r="K288" s="56">
        <f t="shared" si="83"/>
        <v>725318242.33</v>
      </c>
      <c r="L288" s="56">
        <f t="shared" si="83"/>
        <v>730002486.7099999</v>
      </c>
      <c r="M288" s="68"/>
    </row>
    <row r="289" spans="1:13" ht="21.75" customHeight="1">
      <c r="A289" s="85"/>
      <c r="B289" s="92"/>
      <c r="C289" s="93"/>
      <c r="D289" s="93"/>
      <c r="E289" s="94"/>
      <c r="F289" s="55" t="s">
        <v>15</v>
      </c>
      <c r="G289" s="56">
        <f>H289+I289+J289+K289+L289</f>
        <v>369955736.46</v>
      </c>
      <c r="H289" s="56">
        <f t="shared" si="83"/>
        <v>20422134</v>
      </c>
      <c r="I289" s="56">
        <f t="shared" si="83"/>
        <v>65977614.45999999</v>
      </c>
      <c r="J289" s="56">
        <f t="shared" si="83"/>
        <v>173930868</v>
      </c>
      <c r="K289" s="56">
        <f t="shared" si="83"/>
        <v>62368650</v>
      </c>
      <c r="L289" s="56">
        <f t="shared" si="83"/>
        <v>47256470</v>
      </c>
      <c r="M289" s="68"/>
    </row>
    <row r="290" spans="7:13" ht="16.5" hidden="1" outlineLevel="1">
      <c r="G290" s="53" t="s">
        <v>176</v>
      </c>
      <c r="I290" s="52" t="e">
        <f>I286-#REF!</f>
        <v>#REF!</v>
      </c>
      <c r="J290" s="48">
        <v>4581200</v>
      </c>
      <c r="K290" s="49">
        <v>44315</v>
      </c>
      <c r="L290" s="50" t="s">
        <v>173</v>
      </c>
      <c r="M290" s="51"/>
    </row>
    <row r="291" spans="10:13" ht="16.5" hidden="1" outlineLevel="1">
      <c r="J291" s="48">
        <v>15130586.16</v>
      </c>
      <c r="K291" s="49">
        <v>44316</v>
      </c>
      <c r="L291" s="50" t="s">
        <v>174</v>
      </c>
      <c r="M291" s="51"/>
    </row>
    <row r="292" spans="10:13" ht="16.5" hidden="1" outlineLevel="1">
      <c r="J292" s="48">
        <f>602506.08+901734-110000</f>
        <v>1394240.08</v>
      </c>
      <c r="K292" s="49">
        <v>44321</v>
      </c>
      <c r="L292" s="50" t="s">
        <v>175</v>
      </c>
      <c r="M292" s="51"/>
    </row>
    <row r="293" spans="9:12" ht="16.5" collapsed="1">
      <c r="I293" s="48">
        <f>'[4]остатки средств в ФК_9'!$R$101-1600000</f>
        <v>1061957868.36</v>
      </c>
      <c r="J293" s="48">
        <f>'[6]прил 6.'!G308</f>
        <v>1159254257.1999996</v>
      </c>
      <c r="K293" s="48">
        <f>'[6]прил 6.'!H308</f>
        <v>1069134834.0999999</v>
      </c>
      <c r="L293" s="48">
        <f>'[6]прил 6.'!I308</f>
        <v>1056420748.0299999</v>
      </c>
    </row>
    <row r="294" spans="9:12" ht="16.5">
      <c r="I294" s="48">
        <f>I286-I293</f>
        <v>0</v>
      </c>
      <c r="J294" s="48">
        <f>J286-J293</f>
        <v>0</v>
      </c>
      <c r="K294" s="48">
        <f>K286-K293</f>
        <v>0</v>
      </c>
      <c r="L294" s="48">
        <f>L286-L293</f>
        <v>0</v>
      </c>
    </row>
    <row r="295" spans="10:12" ht="16.5">
      <c r="J295" s="34"/>
      <c r="L295" s="34"/>
    </row>
    <row r="296" spans="1:41" s="21" customFormat="1" ht="16.5">
      <c r="A296" s="2"/>
      <c r="B296" s="18"/>
      <c r="C296" s="17"/>
      <c r="D296" s="2"/>
      <c r="E296" s="2"/>
      <c r="F296" s="2"/>
      <c r="I296" s="34"/>
      <c r="M296" s="3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</sheetData>
  <sheetProtection/>
  <mergeCells count="373">
    <mergeCell ref="K1:M1"/>
    <mergeCell ref="B2:K2"/>
    <mergeCell ref="B3:K3"/>
    <mergeCell ref="B4:K4"/>
    <mergeCell ref="A7:A8"/>
    <mergeCell ref="E7:E8"/>
    <mergeCell ref="F7:F8"/>
    <mergeCell ref="G7:L7"/>
    <mergeCell ref="A174:A177"/>
    <mergeCell ref="B174:B177"/>
    <mergeCell ref="C174:C177"/>
    <mergeCell ref="D174:D177"/>
    <mergeCell ref="E174:E177"/>
    <mergeCell ref="M7:M8"/>
    <mergeCell ref="A10:A13"/>
    <mergeCell ref="B10:B13"/>
    <mergeCell ref="C10:C13"/>
    <mergeCell ref="D10:D13"/>
    <mergeCell ref="E10:E13"/>
    <mergeCell ref="M10:M13"/>
    <mergeCell ref="B7:B8"/>
    <mergeCell ref="C7:C8"/>
    <mergeCell ref="D7:D8"/>
    <mergeCell ref="A14:A17"/>
    <mergeCell ref="B14:B17"/>
    <mergeCell ref="C14:C17"/>
    <mergeCell ref="D14:D17"/>
    <mergeCell ref="E14:E17"/>
    <mergeCell ref="M14:M33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E22:E25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A34:A37"/>
    <mergeCell ref="B34:B37"/>
    <mergeCell ref="C34:C37"/>
    <mergeCell ref="D34:D37"/>
    <mergeCell ref="E34:E37"/>
    <mergeCell ref="M34:M81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M82:M93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M94:M117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E102:E105"/>
    <mergeCell ref="B106:B109"/>
    <mergeCell ref="C106:C109"/>
    <mergeCell ref="D106:D109"/>
    <mergeCell ref="E106:E109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M118:M121"/>
    <mergeCell ref="A122:A125"/>
    <mergeCell ref="B122:B125"/>
    <mergeCell ref="C122:C125"/>
    <mergeCell ref="D122:D125"/>
    <mergeCell ref="E122:E125"/>
    <mergeCell ref="M122:M137"/>
    <mergeCell ref="A126:A129"/>
    <mergeCell ref="B126:B129"/>
    <mergeCell ref="C126:C129"/>
    <mergeCell ref="D126:D129"/>
    <mergeCell ref="E126:E129"/>
    <mergeCell ref="A130:A133"/>
    <mergeCell ref="B130:B133"/>
    <mergeCell ref="C130:C133"/>
    <mergeCell ref="D130:D133"/>
    <mergeCell ref="E130:E133"/>
    <mergeCell ref="Y130:Y133"/>
    <mergeCell ref="A134:A137"/>
    <mergeCell ref="B134:B137"/>
    <mergeCell ref="C134:C137"/>
    <mergeCell ref="D134:D137"/>
    <mergeCell ref="E134:E137"/>
    <mergeCell ref="A138:A141"/>
    <mergeCell ref="B138:B141"/>
    <mergeCell ref="C138:C141"/>
    <mergeCell ref="D138:D141"/>
    <mergeCell ref="E138:E141"/>
    <mergeCell ref="M138:M141"/>
    <mergeCell ref="A142:A145"/>
    <mergeCell ref="B142:B145"/>
    <mergeCell ref="C142:C145"/>
    <mergeCell ref="D142:D145"/>
    <mergeCell ref="E142:E145"/>
    <mergeCell ref="M142:M145"/>
    <mergeCell ref="A146:A149"/>
    <mergeCell ref="B146:B149"/>
    <mergeCell ref="C146:C149"/>
    <mergeCell ref="D146:D149"/>
    <mergeCell ref="E146:E149"/>
    <mergeCell ref="M146:M149"/>
    <mergeCell ref="B150:B153"/>
    <mergeCell ref="C150:C153"/>
    <mergeCell ref="D150:D153"/>
    <mergeCell ref="E150:E153"/>
    <mergeCell ref="M150:M153"/>
    <mergeCell ref="A154:A157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M158:M161"/>
    <mergeCell ref="A162:A165"/>
    <mergeCell ref="B162:B165"/>
    <mergeCell ref="C162:C165"/>
    <mergeCell ref="D162:D165"/>
    <mergeCell ref="E162:E165"/>
    <mergeCell ref="M162:M165"/>
    <mergeCell ref="A166:A169"/>
    <mergeCell ref="B166:B169"/>
    <mergeCell ref="C166:C169"/>
    <mergeCell ref="D166:D169"/>
    <mergeCell ref="E166:E169"/>
    <mergeCell ref="M166:M169"/>
    <mergeCell ref="Y169:Y185"/>
    <mergeCell ref="A170:A173"/>
    <mergeCell ref="B170:B173"/>
    <mergeCell ref="C170:C173"/>
    <mergeCell ref="D170:D173"/>
    <mergeCell ref="E170:E173"/>
    <mergeCell ref="M170:M205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206:A209"/>
    <mergeCell ref="B206:B209"/>
    <mergeCell ref="C206:C209"/>
    <mergeCell ref="D206:D209"/>
    <mergeCell ref="E206:E209"/>
    <mergeCell ref="B194:B197"/>
    <mergeCell ref="C194:C197"/>
    <mergeCell ref="D194:D197"/>
    <mergeCell ref="E194:E197"/>
    <mergeCell ref="A198:A201"/>
    <mergeCell ref="M206:M209"/>
    <mergeCell ref="A210:A213"/>
    <mergeCell ref="B210:B213"/>
    <mergeCell ref="C210:C213"/>
    <mergeCell ref="D210:D213"/>
    <mergeCell ref="E210:E213"/>
    <mergeCell ref="M210:M229"/>
    <mergeCell ref="A214:A217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M230:M233"/>
    <mergeCell ref="B222:B225"/>
    <mergeCell ref="C222:C225"/>
    <mergeCell ref="D222:D225"/>
    <mergeCell ref="E222:E225"/>
    <mergeCell ref="A226:A229"/>
    <mergeCell ref="B226:B229"/>
    <mergeCell ref="C226:C229"/>
    <mergeCell ref="D226:D229"/>
    <mergeCell ref="E226:E229"/>
    <mergeCell ref="M234:M261"/>
    <mergeCell ref="A234:A237"/>
    <mergeCell ref="B234:B237"/>
    <mergeCell ref="C234:C237"/>
    <mergeCell ref="D234:D237"/>
    <mergeCell ref="A230:A233"/>
    <mergeCell ref="B230:B233"/>
    <mergeCell ref="C230:C233"/>
    <mergeCell ref="D230:D233"/>
    <mergeCell ref="E230:E233"/>
    <mergeCell ref="E246:E249"/>
    <mergeCell ref="E234:E237"/>
    <mergeCell ref="A238:A241"/>
    <mergeCell ref="B238:B241"/>
    <mergeCell ref="C238:C241"/>
    <mergeCell ref="D238:D241"/>
    <mergeCell ref="E238:E241"/>
    <mergeCell ref="E258:E261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D282:D285"/>
    <mergeCell ref="E282:E285"/>
    <mergeCell ref="A254:A257"/>
    <mergeCell ref="B254:B257"/>
    <mergeCell ref="C254:C257"/>
    <mergeCell ref="D254:D257"/>
    <mergeCell ref="E254:E257"/>
    <mergeCell ref="B258:B261"/>
    <mergeCell ref="C258:C261"/>
    <mergeCell ref="D258:D261"/>
    <mergeCell ref="M282:M285"/>
    <mergeCell ref="A286:A289"/>
    <mergeCell ref="B286:E289"/>
    <mergeCell ref="A278:A281"/>
    <mergeCell ref="B278:B281"/>
    <mergeCell ref="C278:C281"/>
    <mergeCell ref="E278:E281"/>
    <mergeCell ref="A282:A285"/>
    <mergeCell ref="B282:B285"/>
    <mergeCell ref="C282:C285"/>
    <mergeCell ref="A262:A265"/>
    <mergeCell ref="B262:B265"/>
    <mergeCell ref="C262:C265"/>
    <mergeCell ref="E262:E265"/>
    <mergeCell ref="A266:A269"/>
    <mergeCell ref="B266:B269"/>
    <mergeCell ref="C266:C269"/>
    <mergeCell ref="D266:D269"/>
    <mergeCell ref="E266:E269"/>
    <mergeCell ref="E270:E273"/>
    <mergeCell ref="A274:A277"/>
    <mergeCell ref="B274:B277"/>
    <mergeCell ref="C274:C277"/>
    <mergeCell ref="D274:D277"/>
    <mergeCell ref="E274:E277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B198:B201"/>
    <mergeCell ref="A250:A253"/>
    <mergeCell ref="B250:B253"/>
    <mergeCell ref="C250:C253"/>
    <mergeCell ref="D250:D253"/>
    <mergeCell ref="E250:E253"/>
    <mergeCell ref="M274:M277"/>
    <mergeCell ref="M266:M269"/>
    <mergeCell ref="A270:A273"/>
    <mergeCell ref="B270:B273"/>
    <mergeCell ref="C270:C273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44" r:id="rId3"/>
  <rowBreaks count="3" manualBreakCount="3">
    <brk id="57" max="12" man="1"/>
    <brk id="117" max="12" man="1"/>
    <brk id="237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2"/>
  <sheetViews>
    <sheetView view="pageBreakPreview" zoomScale="80" zoomScaleSheetLayoutView="80" zoomScalePageLayoutView="0" workbookViewId="0" topLeftCell="A1">
      <pane xSplit="7" ySplit="8" topLeftCell="H24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L303" sqref="L303"/>
    </sheetView>
  </sheetViews>
  <sheetFormatPr defaultColWidth="9.140625" defaultRowHeight="12.75" outlineLevelRow="1"/>
  <cols>
    <col min="1" max="1" width="11.28125" style="2" customWidth="1"/>
    <col min="2" max="2" width="52.421875" style="18" customWidth="1"/>
    <col min="3" max="3" width="14.28125" style="17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1" customWidth="1"/>
    <col min="13" max="13" width="65.7109375" style="31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76" t="s">
        <v>209</v>
      </c>
      <c r="L1" s="176"/>
      <c r="M1" s="176"/>
      <c r="N1" s="3"/>
      <c r="O1" s="3"/>
      <c r="P1" s="3"/>
    </row>
    <row r="2" spans="1:14" ht="16.5">
      <c r="A2" s="1"/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22"/>
      <c r="M2" s="28" t="s">
        <v>208</v>
      </c>
      <c r="N2" s="3"/>
    </row>
    <row r="3" spans="1:13" ht="16.5">
      <c r="A3" s="1"/>
      <c r="B3" s="177" t="s">
        <v>2</v>
      </c>
      <c r="C3" s="177"/>
      <c r="D3" s="177"/>
      <c r="E3" s="177"/>
      <c r="F3" s="177"/>
      <c r="G3" s="177"/>
      <c r="H3" s="177"/>
      <c r="I3" s="177"/>
      <c r="J3" s="177"/>
      <c r="K3" s="177"/>
      <c r="L3" s="23"/>
      <c r="M3" s="28" t="s">
        <v>118</v>
      </c>
    </row>
    <row r="4" spans="1:13" ht="15.75" customHeight="1">
      <c r="A4" s="1"/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7"/>
      <c r="L4" s="24"/>
      <c r="M4" s="29"/>
    </row>
    <row r="5" spans="1:13" ht="16.5">
      <c r="A5" s="1"/>
      <c r="H5" s="34"/>
      <c r="I5" s="38">
        <f>I20+I40+I44+I48+I52+I96+I104+I120</f>
        <v>628554600</v>
      </c>
      <c r="J5" s="73">
        <f>J20+J40+J44+J48+J52+J96+J104+J120</f>
        <v>628988200</v>
      </c>
      <c r="K5" s="73">
        <f>K20+K40+K44+K48+K52+K96+K104+K120</f>
        <v>640756000</v>
      </c>
      <c r="L5" s="73">
        <f>L20+L40+L44+L48+L52+L96+L104+L120</f>
        <v>661037500</v>
      </c>
      <c r="M5" s="74" t="s">
        <v>199</v>
      </c>
    </row>
    <row r="6" spans="1:13" ht="16.5">
      <c r="A6" s="1"/>
      <c r="H6" s="34"/>
      <c r="I6" s="38"/>
      <c r="J6" s="73">
        <f>J28+J60+J116-2040.87</f>
        <v>46785972.00000001</v>
      </c>
      <c r="K6" s="73">
        <f>K28+K60+K116</f>
        <v>47525978</v>
      </c>
      <c r="L6" s="73">
        <f>L28+L60+L116</f>
        <v>52557201</v>
      </c>
      <c r="M6" s="74" t="s">
        <v>200</v>
      </c>
    </row>
    <row r="7" spans="1:13" s="32" customFormat="1" ht="21.75" customHeight="1">
      <c r="A7" s="168" t="s">
        <v>3</v>
      </c>
      <c r="B7" s="168" t="s">
        <v>4</v>
      </c>
      <c r="C7" s="168" t="s">
        <v>5</v>
      </c>
      <c r="D7" s="168" t="s">
        <v>121</v>
      </c>
      <c r="E7" s="168" t="s">
        <v>6</v>
      </c>
      <c r="F7" s="168" t="s">
        <v>7</v>
      </c>
      <c r="G7" s="165" t="s">
        <v>8</v>
      </c>
      <c r="H7" s="166"/>
      <c r="I7" s="166"/>
      <c r="J7" s="166"/>
      <c r="K7" s="166"/>
      <c r="L7" s="167"/>
      <c r="M7" s="168" t="s">
        <v>9</v>
      </c>
    </row>
    <row r="8" spans="1:13" s="32" customFormat="1" ht="21.75" customHeight="1">
      <c r="A8" s="169"/>
      <c r="B8" s="169"/>
      <c r="C8" s="169"/>
      <c r="D8" s="169"/>
      <c r="E8" s="169"/>
      <c r="F8" s="169"/>
      <c r="G8" s="20" t="s">
        <v>10</v>
      </c>
      <c r="H8" s="19">
        <v>2020</v>
      </c>
      <c r="I8" s="33">
        <v>2021</v>
      </c>
      <c r="J8" s="19">
        <v>2022</v>
      </c>
      <c r="K8" s="19">
        <v>2023</v>
      </c>
      <c r="L8" s="19">
        <v>2024</v>
      </c>
      <c r="M8" s="169"/>
    </row>
    <row r="9" spans="1:13" s="17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5">
        <v>6</v>
      </c>
      <c r="H9" s="25">
        <v>9</v>
      </c>
      <c r="I9" s="25">
        <v>10</v>
      </c>
      <c r="J9" s="25">
        <v>10</v>
      </c>
      <c r="K9" s="25">
        <v>9</v>
      </c>
      <c r="L9" s="25">
        <v>10</v>
      </c>
      <c r="M9" s="30">
        <v>11</v>
      </c>
    </row>
    <row r="10" spans="1:14" ht="30.75" customHeight="1">
      <c r="A10" s="107" t="s">
        <v>11</v>
      </c>
      <c r="B10" s="170" t="s">
        <v>146</v>
      </c>
      <c r="C10" s="113" t="s">
        <v>125</v>
      </c>
      <c r="D10" s="134" t="s">
        <v>122</v>
      </c>
      <c r="E10" s="113" t="s">
        <v>106</v>
      </c>
      <c r="F10" s="39" t="s">
        <v>12</v>
      </c>
      <c r="G10" s="40" t="e">
        <f aca="true" t="shared" si="0" ref="G10:L10">G11+G12+G13</f>
        <v>#REF!</v>
      </c>
      <c r="H10" s="40">
        <f t="shared" si="0"/>
        <v>914744851.35</v>
      </c>
      <c r="I10" s="40">
        <f t="shared" si="0"/>
        <v>1015842407.56</v>
      </c>
      <c r="J10" s="40" t="e">
        <f t="shared" si="0"/>
        <v>#REF!</v>
      </c>
      <c r="K10" s="40">
        <f t="shared" si="0"/>
        <v>1001464358.07</v>
      </c>
      <c r="L10" s="40">
        <f t="shared" si="0"/>
        <v>1024544211.47</v>
      </c>
      <c r="M10" s="173"/>
      <c r="N10" s="3"/>
    </row>
    <row r="11" spans="1:14" ht="30.75" customHeight="1">
      <c r="A11" s="108"/>
      <c r="B11" s="171"/>
      <c r="C11" s="114"/>
      <c r="D11" s="139"/>
      <c r="E11" s="114"/>
      <c r="F11" s="39" t="s">
        <v>13</v>
      </c>
      <c r="G11" s="40">
        <f>H11+I11+J11+K11+L11</f>
        <v>1245573857.49</v>
      </c>
      <c r="H11" s="41">
        <f aca="true" t="shared" si="1" ref="H11:L13">H15+H35+H87+H99+H123</f>
        <v>231636913.84</v>
      </c>
      <c r="I11" s="41">
        <f t="shared" si="1"/>
        <v>246634835.64</v>
      </c>
      <c r="J11" s="41">
        <f t="shared" si="1"/>
        <v>260127335.08</v>
      </c>
      <c r="K11" s="41">
        <f t="shared" si="1"/>
        <v>255520105.61</v>
      </c>
      <c r="L11" s="41">
        <f t="shared" si="1"/>
        <v>251654667.32</v>
      </c>
      <c r="M11" s="174"/>
      <c r="N11" s="3"/>
    </row>
    <row r="12" spans="1:14" ht="30.75" customHeight="1">
      <c r="A12" s="108"/>
      <c r="B12" s="171"/>
      <c r="C12" s="114"/>
      <c r="D12" s="139"/>
      <c r="E12" s="114"/>
      <c r="F12" s="39" t="s">
        <v>14</v>
      </c>
      <c r="G12" s="40" t="e">
        <f>H12+I12+J12+K12+L12</f>
        <v>#REF!</v>
      </c>
      <c r="H12" s="41">
        <f t="shared" si="1"/>
        <v>662685803.51</v>
      </c>
      <c r="I12" s="41">
        <f t="shared" si="1"/>
        <v>703229957.4599999</v>
      </c>
      <c r="J12" s="41" t="e">
        <f t="shared" si="1"/>
        <v>#REF!</v>
      </c>
      <c r="K12" s="41">
        <f t="shared" si="1"/>
        <v>699897102.46</v>
      </c>
      <c r="L12" s="41">
        <f t="shared" si="1"/>
        <v>725633074.15</v>
      </c>
      <c r="M12" s="174"/>
      <c r="N12" s="3"/>
    </row>
    <row r="13" spans="1:14" ht="30.75" customHeight="1">
      <c r="A13" s="109"/>
      <c r="B13" s="172"/>
      <c r="C13" s="115"/>
      <c r="D13" s="140"/>
      <c r="E13" s="115"/>
      <c r="F13" s="39" t="s">
        <v>15</v>
      </c>
      <c r="G13" s="40">
        <f>H13+I13+J13+K13+L13</f>
        <v>226240418.45999998</v>
      </c>
      <c r="H13" s="41">
        <f t="shared" si="1"/>
        <v>20422134</v>
      </c>
      <c r="I13" s="41">
        <f t="shared" si="1"/>
        <v>65977614.45999999</v>
      </c>
      <c r="J13" s="41">
        <f t="shared" si="1"/>
        <v>46537050</v>
      </c>
      <c r="K13" s="41">
        <f t="shared" si="1"/>
        <v>46047150</v>
      </c>
      <c r="L13" s="41">
        <f t="shared" si="1"/>
        <v>47256470</v>
      </c>
      <c r="M13" s="175"/>
      <c r="N13" s="3"/>
    </row>
    <row r="14" spans="1:14" ht="21.75" customHeight="1">
      <c r="A14" s="160" t="s">
        <v>16</v>
      </c>
      <c r="B14" s="162" t="s">
        <v>17</v>
      </c>
      <c r="C14" s="151" t="s">
        <v>125</v>
      </c>
      <c r="D14" s="154" t="s">
        <v>122</v>
      </c>
      <c r="E14" s="151" t="s">
        <v>106</v>
      </c>
      <c r="F14" s="42" t="s">
        <v>12</v>
      </c>
      <c r="G14" s="43">
        <f aca="true" t="shared" si="2" ref="G14:L14">G15+G16+G17</f>
        <v>1591486910.24</v>
      </c>
      <c r="H14" s="43">
        <f t="shared" si="2"/>
        <v>300410153.05</v>
      </c>
      <c r="I14" s="43">
        <f t="shared" si="2"/>
        <v>317186259.79</v>
      </c>
      <c r="J14" s="43">
        <f t="shared" si="2"/>
        <v>316491726.38</v>
      </c>
      <c r="K14" s="43">
        <f t="shared" si="2"/>
        <v>324356091.39</v>
      </c>
      <c r="L14" s="43">
        <f t="shared" si="2"/>
        <v>333042679.63</v>
      </c>
      <c r="M14" s="81" t="s">
        <v>153</v>
      </c>
      <c r="N14" s="3"/>
    </row>
    <row r="15" spans="1:14" ht="21.75" customHeight="1">
      <c r="A15" s="161"/>
      <c r="B15" s="163"/>
      <c r="C15" s="152"/>
      <c r="D15" s="155"/>
      <c r="E15" s="152"/>
      <c r="F15" s="42" t="s">
        <v>13</v>
      </c>
      <c r="G15" s="43">
        <f>H15+I15+J15+K15+L15</f>
        <v>494926723.07</v>
      </c>
      <c r="H15" s="44">
        <f aca="true" t="shared" si="3" ref="H15:L17">H19+H23+H27+H31</f>
        <v>96147672.62</v>
      </c>
      <c r="I15" s="44">
        <f t="shared" si="3"/>
        <v>99727111.45</v>
      </c>
      <c r="J15" s="44">
        <f>J19+J23+J27+J31</f>
        <v>100148170</v>
      </c>
      <c r="K15" s="44">
        <f t="shared" si="3"/>
        <v>99281183</v>
      </c>
      <c r="L15" s="44">
        <f t="shared" si="3"/>
        <v>99622586</v>
      </c>
      <c r="M15" s="82"/>
      <c r="N15" s="3"/>
    </row>
    <row r="16" spans="1:14" ht="21.75" customHeight="1">
      <c r="A16" s="161"/>
      <c r="B16" s="163"/>
      <c r="C16" s="152"/>
      <c r="D16" s="155"/>
      <c r="E16" s="152"/>
      <c r="F16" s="42" t="s">
        <v>14</v>
      </c>
      <c r="G16" s="43">
        <f>H16+I16+J16+K16+L16</f>
        <v>1096560187.17</v>
      </c>
      <c r="H16" s="44">
        <f t="shared" si="3"/>
        <v>204262480.43</v>
      </c>
      <c r="I16" s="44">
        <f t="shared" si="3"/>
        <v>217459148.34</v>
      </c>
      <c r="J16" s="44">
        <f>J20+J24+J28+J32</f>
        <v>216343556.38</v>
      </c>
      <c r="K16" s="44">
        <f t="shared" si="3"/>
        <v>225074908.39</v>
      </c>
      <c r="L16" s="44">
        <f t="shared" si="3"/>
        <v>233420093.63</v>
      </c>
      <c r="M16" s="82"/>
      <c r="N16" s="3"/>
    </row>
    <row r="17" spans="1:14" ht="21.75" customHeight="1">
      <c r="A17" s="161"/>
      <c r="B17" s="163"/>
      <c r="C17" s="152"/>
      <c r="D17" s="156"/>
      <c r="E17" s="152"/>
      <c r="F17" s="42" t="s">
        <v>15</v>
      </c>
      <c r="G17" s="43">
        <f>H17+I17+J17+K17+L17</f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  <c r="L17" s="44">
        <f t="shared" si="3"/>
        <v>0</v>
      </c>
      <c r="M17" s="82"/>
      <c r="N17" s="3"/>
    </row>
    <row r="18" spans="1:14" ht="21.75" customHeight="1">
      <c r="A18" s="164" t="s">
        <v>18</v>
      </c>
      <c r="B18" s="142" t="s">
        <v>19</v>
      </c>
      <c r="C18" s="101" t="s">
        <v>125</v>
      </c>
      <c r="D18" s="103" t="s">
        <v>122</v>
      </c>
      <c r="E18" s="101" t="s">
        <v>106</v>
      </c>
      <c r="F18" s="16" t="s">
        <v>12</v>
      </c>
      <c r="G18" s="26">
        <f aca="true" t="shared" si="4" ref="G18:L18">G19+G20+G21</f>
        <v>1456331905.77</v>
      </c>
      <c r="H18" s="26">
        <f t="shared" si="4"/>
        <v>271391628.05</v>
      </c>
      <c r="I18" s="26">
        <f t="shared" si="4"/>
        <v>286733835.72</v>
      </c>
      <c r="J18" s="26">
        <f t="shared" si="4"/>
        <v>292765935</v>
      </c>
      <c r="K18" s="26">
        <f t="shared" si="4"/>
        <v>299447900</v>
      </c>
      <c r="L18" s="26">
        <f t="shared" si="4"/>
        <v>305992607</v>
      </c>
      <c r="M18" s="82"/>
      <c r="N18" s="3"/>
    </row>
    <row r="19" spans="1:14" ht="21.75" customHeight="1">
      <c r="A19" s="117"/>
      <c r="B19" s="143"/>
      <c r="C19" s="102"/>
      <c r="D19" s="104"/>
      <c r="E19" s="102"/>
      <c r="F19" s="16" t="s">
        <v>13</v>
      </c>
      <c r="G19" s="26">
        <f>H19+I19+J19+K19+L19</f>
        <v>490889822.84000003</v>
      </c>
      <c r="H19" s="26">
        <v>95367218.62</v>
      </c>
      <c r="I19" s="26">
        <f>98500729.44+251771.78</f>
        <v>98752501.22</v>
      </c>
      <c r="J19" s="26">
        <f>99927242-500000</f>
        <v>99427242</v>
      </c>
      <c r="K19" s="26">
        <v>98500729</v>
      </c>
      <c r="L19" s="26">
        <v>98842132</v>
      </c>
      <c r="M19" s="82"/>
      <c r="N19" s="3"/>
    </row>
    <row r="20" spans="1:14" ht="21.75" customHeight="1">
      <c r="A20" s="117"/>
      <c r="B20" s="143"/>
      <c r="C20" s="102"/>
      <c r="D20" s="104"/>
      <c r="E20" s="102"/>
      <c r="F20" s="16" t="s">
        <v>14</v>
      </c>
      <c r="G20" s="26">
        <f>H20+I20+J20+K20+L20</f>
        <v>965442082.9300001</v>
      </c>
      <c r="H20" s="26">
        <f>176152309.43-127900</f>
        <v>176024409.43</v>
      </c>
      <c r="I20" s="26">
        <f>188109234.5-127900</f>
        <v>187981334.5</v>
      </c>
      <c r="J20" s="26">
        <f>193465907-127214</f>
        <v>193338693</v>
      </c>
      <c r="K20" s="26">
        <f>201074385-127214</f>
        <v>200947171</v>
      </c>
      <c r="L20" s="26">
        <f>207277689-127214</f>
        <v>207150475</v>
      </c>
      <c r="M20" s="82"/>
      <c r="N20" s="3"/>
    </row>
    <row r="21" spans="1:14" ht="21.75" customHeight="1">
      <c r="A21" s="117"/>
      <c r="B21" s="143"/>
      <c r="C21" s="102"/>
      <c r="D21" s="105"/>
      <c r="E21" s="102"/>
      <c r="F21" s="16" t="s">
        <v>15</v>
      </c>
      <c r="G21" s="26">
        <f>H21+I21+J21+K21+L21</f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82"/>
      <c r="N21" s="3"/>
    </row>
    <row r="22" spans="1:14" ht="21.75" customHeight="1">
      <c r="A22" s="116" t="s">
        <v>20</v>
      </c>
      <c r="B22" s="142" t="s">
        <v>21</v>
      </c>
      <c r="C22" s="101" t="s">
        <v>125</v>
      </c>
      <c r="D22" s="103" t="s">
        <v>122</v>
      </c>
      <c r="E22" s="101" t="s">
        <v>106</v>
      </c>
      <c r="F22" s="16" t="s">
        <v>12</v>
      </c>
      <c r="G22" s="26">
        <f aca="true" t="shared" si="5" ref="G22:L22">G23+G24+G25</f>
        <v>4036900.23</v>
      </c>
      <c r="H22" s="26">
        <f t="shared" si="5"/>
        <v>780454</v>
      </c>
      <c r="I22" s="26">
        <f t="shared" si="5"/>
        <v>974610.2300000001</v>
      </c>
      <c r="J22" s="26">
        <f t="shared" si="5"/>
        <v>720928</v>
      </c>
      <c r="K22" s="26">
        <f t="shared" si="5"/>
        <v>780454</v>
      </c>
      <c r="L22" s="26">
        <f t="shared" si="5"/>
        <v>780454</v>
      </c>
      <c r="M22" s="82"/>
      <c r="N22" s="3"/>
    </row>
    <row r="23" spans="1:17" ht="21.75" customHeight="1">
      <c r="A23" s="117"/>
      <c r="B23" s="143"/>
      <c r="C23" s="102"/>
      <c r="D23" s="104"/>
      <c r="E23" s="102"/>
      <c r="F23" s="16" t="s">
        <v>13</v>
      </c>
      <c r="G23" s="26">
        <f>H23+I23+J23+K23+L23</f>
        <v>4036900.23</v>
      </c>
      <c r="H23" s="26">
        <v>780454</v>
      </c>
      <c r="I23" s="26">
        <f>858767.75+78575.57+37266.91</f>
        <v>974610.2300000001</v>
      </c>
      <c r="J23" s="26">
        <v>720928</v>
      </c>
      <c r="K23" s="26">
        <v>780454</v>
      </c>
      <c r="L23" s="26">
        <v>780454</v>
      </c>
      <c r="M23" s="82"/>
      <c r="N23" s="3"/>
      <c r="Q23" s="3"/>
    </row>
    <row r="24" spans="1:14" ht="21.75" customHeight="1">
      <c r="A24" s="117"/>
      <c r="B24" s="143"/>
      <c r="C24" s="102"/>
      <c r="D24" s="104"/>
      <c r="E24" s="102"/>
      <c r="F24" s="16" t="s">
        <v>14</v>
      </c>
      <c r="G24" s="26">
        <f>H24+I24+J24+K24+L24</f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82"/>
      <c r="N24" s="3"/>
    </row>
    <row r="25" spans="1:14" ht="21.75" customHeight="1">
      <c r="A25" s="118"/>
      <c r="B25" s="144"/>
      <c r="C25" s="102"/>
      <c r="D25" s="105"/>
      <c r="E25" s="106"/>
      <c r="F25" s="16" t="s">
        <v>15</v>
      </c>
      <c r="G25" s="26">
        <f>H25+I25+J25+K25+L25</f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82"/>
      <c r="N25" s="3"/>
    </row>
    <row r="26" spans="1:14" ht="21.75" customHeight="1">
      <c r="A26" s="116" t="s">
        <v>22</v>
      </c>
      <c r="B26" s="142" t="s">
        <v>23</v>
      </c>
      <c r="C26" s="101" t="s">
        <v>125</v>
      </c>
      <c r="D26" s="103" t="s">
        <v>122</v>
      </c>
      <c r="E26" s="101" t="s">
        <v>106</v>
      </c>
      <c r="F26" s="16" t="s">
        <v>12</v>
      </c>
      <c r="G26" s="26">
        <f aca="true" t="shared" si="6" ref="G26:L26">G27+G28+G29</f>
        <v>88014973.84</v>
      </c>
      <c r="H26" s="26">
        <f t="shared" si="6"/>
        <v>18787671</v>
      </c>
      <c r="I26" s="26">
        <f t="shared" si="6"/>
        <v>19609249.84</v>
      </c>
      <c r="J26" s="26">
        <f t="shared" si="6"/>
        <v>15678454</v>
      </c>
      <c r="K26" s="26">
        <f t="shared" si="6"/>
        <v>16087000</v>
      </c>
      <c r="L26" s="26">
        <f t="shared" si="6"/>
        <v>17852599</v>
      </c>
      <c r="M26" s="82"/>
      <c r="N26" s="3"/>
    </row>
    <row r="27" spans="1:14" ht="21.75" customHeight="1">
      <c r="A27" s="117"/>
      <c r="B27" s="143"/>
      <c r="C27" s="102"/>
      <c r="D27" s="104"/>
      <c r="E27" s="102"/>
      <c r="F27" s="16" t="s">
        <v>13</v>
      </c>
      <c r="G27" s="26">
        <f>H27+I27+J27+K27+L27</f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82"/>
      <c r="N27" s="3"/>
    </row>
    <row r="28" spans="1:14" ht="21.75" customHeight="1">
      <c r="A28" s="117"/>
      <c r="B28" s="143"/>
      <c r="C28" s="102"/>
      <c r="D28" s="104"/>
      <c r="E28" s="102"/>
      <c r="F28" s="16" t="s">
        <v>14</v>
      </c>
      <c r="G28" s="26">
        <f>H28+I28+J28+K28+L28</f>
        <v>88014973.84</v>
      </c>
      <c r="H28" s="26">
        <v>18787671</v>
      </c>
      <c r="I28" s="26">
        <v>19609249.84</v>
      </c>
      <c r="J28" s="26">
        <v>15678454</v>
      </c>
      <c r="K28" s="26">
        <v>16087000</v>
      </c>
      <c r="L28" s="26">
        <v>17852599</v>
      </c>
      <c r="M28" s="82"/>
      <c r="N28" s="3"/>
    </row>
    <row r="29" spans="1:15" ht="21.75" customHeight="1">
      <c r="A29" s="118"/>
      <c r="B29" s="144"/>
      <c r="C29" s="102"/>
      <c r="D29" s="105"/>
      <c r="E29" s="106"/>
      <c r="F29" s="16" t="s">
        <v>15</v>
      </c>
      <c r="G29" s="26">
        <f>H29+I29+J29+K29+L29</f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82"/>
      <c r="O29" s="3"/>
    </row>
    <row r="30" spans="1:14" ht="21.75" customHeight="1">
      <c r="A30" s="116" t="s">
        <v>107</v>
      </c>
      <c r="B30" s="142" t="s">
        <v>108</v>
      </c>
      <c r="C30" s="101" t="s">
        <v>125</v>
      </c>
      <c r="D30" s="103" t="s">
        <v>122</v>
      </c>
      <c r="E30" s="101" t="s">
        <v>106</v>
      </c>
      <c r="F30" s="16" t="s">
        <v>12</v>
      </c>
      <c r="G30" s="26">
        <f aca="true" t="shared" si="7" ref="G30:L30">G31+G32+G33</f>
        <v>43103130.4</v>
      </c>
      <c r="H30" s="26">
        <f t="shared" si="7"/>
        <v>9450400</v>
      </c>
      <c r="I30" s="26">
        <f t="shared" si="7"/>
        <v>9868564</v>
      </c>
      <c r="J30" s="26">
        <f t="shared" si="7"/>
        <v>7326409.38</v>
      </c>
      <c r="K30" s="26">
        <f t="shared" si="7"/>
        <v>8040737.39</v>
      </c>
      <c r="L30" s="26">
        <f t="shared" si="7"/>
        <v>8417019.63</v>
      </c>
      <c r="M30" s="82"/>
      <c r="N30" s="3"/>
    </row>
    <row r="31" spans="1:13" ht="21.75" customHeight="1">
      <c r="A31" s="117"/>
      <c r="B31" s="143"/>
      <c r="C31" s="102"/>
      <c r="D31" s="104"/>
      <c r="E31" s="102"/>
      <c r="F31" s="16" t="s">
        <v>13</v>
      </c>
      <c r="G31" s="26">
        <f>H31+I31+J31+K31+L31</f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82"/>
    </row>
    <row r="32" spans="1:13" ht="21.75" customHeight="1">
      <c r="A32" s="117"/>
      <c r="B32" s="143"/>
      <c r="C32" s="102"/>
      <c r="D32" s="104"/>
      <c r="E32" s="102"/>
      <c r="F32" s="16" t="s">
        <v>14</v>
      </c>
      <c r="G32" s="26">
        <f>H32+I32+J32+K32+L32</f>
        <v>43103130.4</v>
      </c>
      <c r="H32" s="26">
        <v>9450400</v>
      </c>
      <c r="I32" s="26">
        <v>9868564</v>
      </c>
      <c r="J32" s="26">
        <v>7326409.38</v>
      </c>
      <c r="K32" s="26">
        <v>8040737.39</v>
      </c>
      <c r="L32" s="26">
        <v>8417019.63</v>
      </c>
      <c r="M32" s="82"/>
    </row>
    <row r="33" spans="1:15" ht="21.75" customHeight="1">
      <c r="A33" s="118"/>
      <c r="B33" s="144"/>
      <c r="C33" s="102"/>
      <c r="D33" s="105"/>
      <c r="E33" s="106"/>
      <c r="F33" s="16" t="s">
        <v>15</v>
      </c>
      <c r="G33" s="26">
        <f>H33+I33+J33+K33+L33</f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122"/>
      <c r="O33" s="3"/>
    </row>
    <row r="34" spans="1:13" ht="21.75" customHeight="1">
      <c r="A34" s="145" t="s">
        <v>24</v>
      </c>
      <c r="B34" s="148" t="s">
        <v>119</v>
      </c>
      <c r="C34" s="151" t="s">
        <v>125</v>
      </c>
      <c r="D34" s="154" t="s">
        <v>123</v>
      </c>
      <c r="E34" s="151" t="s">
        <v>106</v>
      </c>
      <c r="F34" s="42" t="s">
        <v>12</v>
      </c>
      <c r="G34" s="43" t="e">
        <f aca="true" t="shared" si="8" ref="G34:L34">G35+G36+G37</f>
        <v>#REF!</v>
      </c>
      <c r="H34" s="43">
        <f t="shared" si="8"/>
        <v>504882065.72</v>
      </c>
      <c r="I34" s="43">
        <f t="shared" si="8"/>
        <v>556352473.55</v>
      </c>
      <c r="J34" s="43" t="e">
        <f t="shared" si="8"/>
        <v>#REF!</v>
      </c>
      <c r="K34" s="43">
        <f t="shared" si="8"/>
        <v>548383678</v>
      </c>
      <c r="L34" s="43">
        <f t="shared" si="8"/>
        <v>563161061</v>
      </c>
      <c r="M34" s="81" t="s">
        <v>187</v>
      </c>
    </row>
    <row r="35" spans="1:41" ht="21.75" customHeight="1">
      <c r="A35" s="146"/>
      <c r="B35" s="149"/>
      <c r="C35" s="152"/>
      <c r="D35" s="155"/>
      <c r="E35" s="152"/>
      <c r="F35" s="42" t="s">
        <v>13</v>
      </c>
      <c r="G35" s="43">
        <f>H35+I35+J35+K35+L35</f>
        <v>624384989.83</v>
      </c>
      <c r="H35" s="43">
        <f>H39+H43+H47+H51+H55+H59+H63+H67+H79+H71+H83+H75</f>
        <v>113653893.15</v>
      </c>
      <c r="I35" s="43">
        <f>I39+I43+I47+I51+I55+I59+I63+I67+I79+I71+I83+I75</f>
        <v>123014167.74000001</v>
      </c>
      <c r="J35" s="43">
        <f>J39+J43+J47+J51+J55+J59+J63+J67+J79+J71+J83+J75</f>
        <v>131303332.94</v>
      </c>
      <c r="K35" s="43">
        <f>K39+K43+K47+K51+K55+K59+K63+K67+K79+K71+K83+K75</f>
        <v>128173629</v>
      </c>
      <c r="L35" s="43">
        <f>L39+L43+L47+L51+L55+L59+L63+L67+L79+L71+L83+L75</f>
        <v>128239967</v>
      </c>
      <c r="M35" s="82"/>
      <c r="AO35" s="3" t="e">
        <f>SUM('бюдж.росп. на 01.04.'!$G$34:$AN$81)</f>
        <v>#REF!</v>
      </c>
    </row>
    <row r="36" spans="1:41" ht="21.75" customHeight="1">
      <c r="A36" s="146"/>
      <c r="B36" s="149"/>
      <c r="C36" s="152"/>
      <c r="D36" s="155"/>
      <c r="E36" s="152"/>
      <c r="F36" s="42" t="s">
        <v>14</v>
      </c>
      <c r="G36" s="43" t="e">
        <f>H36+I36+J36+K36+L36</f>
        <v>#REF!</v>
      </c>
      <c r="H36" s="43">
        <f aca="true" t="shared" si="9" ref="H36:L37">H40+H44+H48+H52+H56+H60+H64+H68+H80+H72+H84+H76</f>
        <v>380646772.57</v>
      </c>
      <c r="I36" s="43">
        <f t="shared" si="9"/>
        <v>402558955.81</v>
      </c>
      <c r="J36" s="43" t="e">
        <f t="shared" si="9"/>
        <v>#REF!</v>
      </c>
      <c r="K36" s="43">
        <f t="shared" si="9"/>
        <v>389930699</v>
      </c>
      <c r="L36" s="43">
        <f t="shared" si="9"/>
        <v>403758624</v>
      </c>
      <c r="M36" s="82"/>
      <c r="AO36" s="3" t="e">
        <f>SUM('бюдж.росп. на 01.04.'!$G$34:$AN$81)</f>
        <v>#REF!</v>
      </c>
    </row>
    <row r="37" spans="1:41" ht="21.75" customHeight="1">
      <c r="A37" s="147"/>
      <c r="B37" s="150"/>
      <c r="C37" s="153"/>
      <c r="D37" s="156"/>
      <c r="E37" s="153"/>
      <c r="F37" s="42" t="s">
        <v>15</v>
      </c>
      <c r="G37" s="43">
        <f>H37+I37+J37+K37+L37</f>
        <v>133081920</v>
      </c>
      <c r="H37" s="43">
        <f t="shared" si="9"/>
        <v>10581400</v>
      </c>
      <c r="I37" s="43">
        <f t="shared" si="9"/>
        <v>30779350</v>
      </c>
      <c r="J37" s="43">
        <f t="shared" si="9"/>
        <v>30279350</v>
      </c>
      <c r="K37" s="43">
        <f t="shared" si="9"/>
        <v>30279350</v>
      </c>
      <c r="L37" s="43">
        <f t="shared" si="9"/>
        <v>31162470</v>
      </c>
      <c r="M37" s="82"/>
      <c r="AO37" s="3" t="e">
        <f>SUM('бюдж.росп. на 01.04.'!$G$34:$AN$81)</f>
        <v>#REF!</v>
      </c>
    </row>
    <row r="38" spans="1:41" ht="21.75" customHeight="1">
      <c r="A38" s="116" t="s">
        <v>25</v>
      </c>
      <c r="B38" s="98" t="s">
        <v>26</v>
      </c>
      <c r="C38" s="101" t="s">
        <v>125</v>
      </c>
      <c r="D38" s="103" t="s">
        <v>123</v>
      </c>
      <c r="E38" s="101" t="s">
        <v>106</v>
      </c>
      <c r="F38" s="16" t="s">
        <v>12</v>
      </c>
      <c r="G38" s="26">
        <f aca="true" t="shared" si="10" ref="G38:L38">G39+G40+G41</f>
        <v>3250000</v>
      </c>
      <c r="H38" s="26">
        <f t="shared" si="10"/>
        <v>650000</v>
      </c>
      <c r="I38" s="26">
        <f t="shared" si="10"/>
        <v>650000</v>
      </c>
      <c r="J38" s="26">
        <f t="shared" si="10"/>
        <v>650000</v>
      </c>
      <c r="K38" s="26">
        <f t="shared" si="10"/>
        <v>650000</v>
      </c>
      <c r="L38" s="26">
        <f t="shared" si="10"/>
        <v>650000</v>
      </c>
      <c r="M38" s="82"/>
      <c r="AO38" s="3" t="e">
        <f>SUM('бюдж.росп. на 01.04.'!$G$34:$AN$81)</f>
        <v>#REF!</v>
      </c>
    </row>
    <row r="39" spans="1:41" ht="21.75" customHeight="1">
      <c r="A39" s="117"/>
      <c r="B39" s="99"/>
      <c r="C39" s="102"/>
      <c r="D39" s="104"/>
      <c r="E39" s="102"/>
      <c r="F39" s="16" t="s">
        <v>13</v>
      </c>
      <c r="G39" s="26">
        <f>H39+I39+J39+K39+L39</f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82"/>
      <c r="AO39" s="3" t="e">
        <f>SUM(AO35:AO38)</f>
        <v>#REF!</v>
      </c>
    </row>
    <row r="40" spans="1:13" ht="21.75" customHeight="1">
      <c r="A40" s="117"/>
      <c r="B40" s="99"/>
      <c r="C40" s="102"/>
      <c r="D40" s="104"/>
      <c r="E40" s="102"/>
      <c r="F40" s="16" t="s">
        <v>14</v>
      </c>
      <c r="G40" s="26">
        <f>H40+I40+J40+K40+L40</f>
        <v>3250000</v>
      </c>
      <c r="H40" s="26">
        <v>650000</v>
      </c>
      <c r="I40" s="26">
        <v>650000</v>
      </c>
      <c r="J40" s="26">
        <v>650000</v>
      </c>
      <c r="K40" s="26">
        <v>650000</v>
      </c>
      <c r="L40" s="26">
        <v>650000</v>
      </c>
      <c r="M40" s="82"/>
    </row>
    <row r="41" spans="1:14" ht="21.75" customHeight="1">
      <c r="A41" s="118"/>
      <c r="B41" s="100"/>
      <c r="C41" s="102"/>
      <c r="D41" s="105"/>
      <c r="E41" s="106"/>
      <c r="F41" s="16" t="s">
        <v>15</v>
      </c>
      <c r="G41" s="26">
        <f>H41+I41+J41+K41+L41</f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82"/>
      <c r="N41" s="3"/>
    </row>
    <row r="42" spans="1:15" ht="21.75" customHeight="1">
      <c r="A42" s="116" t="s">
        <v>27</v>
      </c>
      <c r="B42" s="98" t="s">
        <v>28</v>
      </c>
      <c r="C42" s="101" t="s">
        <v>125</v>
      </c>
      <c r="D42" s="103" t="s">
        <v>123</v>
      </c>
      <c r="E42" s="101" t="s">
        <v>106</v>
      </c>
      <c r="F42" s="16" t="s">
        <v>12</v>
      </c>
      <c r="G42" s="26">
        <f aca="true" t="shared" si="11" ref="G42:L42">G43+G44+G45</f>
        <v>43621689</v>
      </c>
      <c r="H42" s="26">
        <f t="shared" si="11"/>
        <v>8744137</v>
      </c>
      <c r="I42" s="26">
        <f t="shared" si="11"/>
        <v>8816768</v>
      </c>
      <c r="J42" s="26">
        <f t="shared" si="11"/>
        <v>8686928</v>
      </c>
      <c r="K42" s="26">
        <f t="shared" si="11"/>
        <v>8686928</v>
      </c>
      <c r="L42" s="26">
        <f t="shared" si="11"/>
        <v>8686928</v>
      </c>
      <c r="M42" s="82"/>
      <c r="O42" s="3"/>
    </row>
    <row r="43" spans="1:13" ht="21.75" customHeight="1">
      <c r="A43" s="117"/>
      <c r="B43" s="99"/>
      <c r="C43" s="102"/>
      <c r="D43" s="104"/>
      <c r="E43" s="102"/>
      <c r="F43" s="16" t="s">
        <v>13</v>
      </c>
      <c r="G43" s="26">
        <f>H43+I43+J43+K43+L43</f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82"/>
    </row>
    <row r="44" spans="1:14" ht="21.75" customHeight="1">
      <c r="A44" s="117"/>
      <c r="B44" s="99"/>
      <c r="C44" s="102"/>
      <c r="D44" s="104"/>
      <c r="E44" s="102"/>
      <c r="F44" s="16" t="s">
        <v>14</v>
      </c>
      <c r="G44" s="26">
        <f>H44+I44+J44+K44+L44</f>
        <v>43621689</v>
      </c>
      <c r="H44" s="26">
        <v>8744137</v>
      </c>
      <c r="I44" s="26">
        <f>8816768</f>
        <v>8816768</v>
      </c>
      <c r="J44" s="26">
        <v>8686928</v>
      </c>
      <c r="K44" s="26">
        <v>8686928</v>
      </c>
      <c r="L44" s="26">
        <v>8686928</v>
      </c>
      <c r="M44" s="82"/>
      <c r="N44" s="6">
        <f>'[1]9 мес 2021'!$H$25-I44</f>
        <v>0</v>
      </c>
    </row>
    <row r="45" spans="1:14" ht="21.75" customHeight="1">
      <c r="A45" s="118"/>
      <c r="B45" s="100"/>
      <c r="C45" s="102"/>
      <c r="D45" s="105"/>
      <c r="E45" s="106"/>
      <c r="F45" s="16" t="s">
        <v>15</v>
      </c>
      <c r="G45" s="26">
        <f>H45+I45+J45+K45+L45</f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82"/>
      <c r="N45" s="7"/>
    </row>
    <row r="46" spans="1:14" ht="21.75" customHeight="1">
      <c r="A46" s="116" t="s">
        <v>29</v>
      </c>
      <c r="B46" s="98" t="s">
        <v>31</v>
      </c>
      <c r="C46" s="101" t="s">
        <v>125</v>
      </c>
      <c r="D46" s="103" t="s">
        <v>123</v>
      </c>
      <c r="E46" s="101" t="s">
        <v>106</v>
      </c>
      <c r="F46" s="16" t="s">
        <v>12</v>
      </c>
      <c r="G46" s="26">
        <f aca="true" t="shared" si="12" ref="G46:L46">G47+G48+G49</f>
        <v>9455460</v>
      </c>
      <c r="H46" s="26">
        <f t="shared" si="12"/>
        <v>1891092</v>
      </c>
      <c r="I46" s="26">
        <f t="shared" si="12"/>
        <v>1891092</v>
      </c>
      <c r="J46" s="26">
        <f t="shared" si="12"/>
        <v>1891092</v>
      </c>
      <c r="K46" s="26">
        <f t="shared" si="12"/>
        <v>1891092</v>
      </c>
      <c r="L46" s="26">
        <f t="shared" si="12"/>
        <v>1891092</v>
      </c>
      <c r="M46" s="82"/>
      <c r="N46" s="7"/>
    </row>
    <row r="47" spans="1:14" ht="21.75" customHeight="1">
      <c r="A47" s="117"/>
      <c r="B47" s="99"/>
      <c r="C47" s="102"/>
      <c r="D47" s="104"/>
      <c r="E47" s="102"/>
      <c r="F47" s="16" t="s">
        <v>13</v>
      </c>
      <c r="G47" s="26">
        <f>H47+I47+J47+K47+L47</f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82"/>
      <c r="N47" s="7"/>
    </row>
    <row r="48" spans="1:14" ht="21.75" customHeight="1">
      <c r="A48" s="117"/>
      <c r="B48" s="99"/>
      <c r="C48" s="102"/>
      <c r="D48" s="104"/>
      <c r="E48" s="102"/>
      <c r="F48" s="16" t="s">
        <v>14</v>
      </c>
      <c r="G48" s="26">
        <f>H48+I48+J48+K48+L48</f>
        <v>9455460</v>
      </c>
      <c r="H48" s="26">
        <v>1891092</v>
      </c>
      <c r="I48" s="26">
        <v>1891092</v>
      </c>
      <c r="J48" s="26">
        <v>1891092</v>
      </c>
      <c r="K48" s="26">
        <v>1891092</v>
      </c>
      <c r="L48" s="26">
        <v>1891092</v>
      </c>
      <c r="M48" s="82"/>
      <c r="N48" s="6"/>
    </row>
    <row r="49" spans="1:13" ht="21.75" customHeight="1">
      <c r="A49" s="118"/>
      <c r="B49" s="100"/>
      <c r="C49" s="102"/>
      <c r="D49" s="105"/>
      <c r="E49" s="106"/>
      <c r="F49" s="16" t="s">
        <v>15</v>
      </c>
      <c r="G49" s="26">
        <f>H49+I49+J49+K49+L49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82"/>
    </row>
    <row r="50" spans="1:14" ht="21.75" customHeight="1">
      <c r="A50" s="116" t="s">
        <v>30</v>
      </c>
      <c r="B50" s="142" t="s">
        <v>33</v>
      </c>
      <c r="C50" s="101" t="s">
        <v>125</v>
      </c>
      <c r="D50" s="103" t="s">
        <v>123</v>
      </c>
      <c r="E50" s="101" t="s">
        <v>106</v>
      </c>
      <c r="F50" s="16" t="s">
        <v>12</v>
      </c>
      <c r="G50" s="26">
        <f aca="true" t="shared" si="13" ref="G50:L50">G51+G52+G53</f>
        <v>2375187700.1099997</v>
      </c>
      <c r="H50" s="26">
        <f t="shared" si="13"/>
        <v>459249705.72</v>
      </c>
      <c r="I50" s="26">
        <f t="shared" si="13"/>
        <v>476025095.39</v>
      </c>
      <c r="J50" s="26">
        <f t="shared" si="13"/>
        <v>477374381</v>
      </c>
      <c r="K50" s="26">
        <f t="shared" si="13"/>
        <v>475658598</v>
      </c>
      <c r="L50" s="26">
        <f t="shared" si="13"/>
        <v>486879920</v>
      </c>
      <c r="M50" s="82"/>
      <c r="N50" s="3"/>
    </row>
    <row r="51" spans="1:15" ht="21.75" customHeight="1">
      <c r="A51" s="117"/>
      <c r="B51" s="143"/>
      <c r="C51" s="102"/>
      <c r="D51" s="104"/>
      <c r="E51" s="102"/>
      <c r="F51" s="16" t="s">
        <v>13</v>
      </c>
      <c r="G51" s="26">
        <f>H51+I51+J51+K51+L51</f>
        <v>611760473.04</v>
      </c>
      <c r="H51" s="26">
        <v>111005611.15</v>
      </c>
      <c r="I51" s="26">
        <f>112774045.47+5964026+1921557.81+130535.61</f>
        <v>120790164.89</v>
      </c>
      <c r="J51" s="26">
        <v>128679717</v>
      </c>
      <c r="K51" s="26">
        <v>125609321</v>
      </c>
      <c r="L51" s="26">
        <v>125675659</v>
      </c>
      <c r="M51" s="82"/>
      <c r="O51" s="8"/>
    </row>
    <row r="52" spans="1:14" ht="21.75" customHeight="1">
      <c r="A52" s="117"/>
      <c r="B52" s="143"/>
      <c r="C52" s="102"/>
      <c r="D52" s="104"/>
      <c r="E52" s="102"/>
      <c r="F52" s="16" t="s">
        <v>14</v>
      </c>
      <c r="G52" s="26">
        <f>H52+I52+J52+K52+L52</f>
        <v>1752845827.07</v>
      </c>
      <c r="H52" s="26">
        <f>349241007.57-293084-H40-H44-H48</f>
        <v>337662694.57</v>
      </c>
      <c r="I52" s="26">
        <f>366885874.5-I40-I48-I44-293084</f>
        <v>355234930.5</v>
      </c>
      <c r="J52" s="26">
        <f>347896678-301194-J40-J44-J48-J68+12327200</f>
        <v>348694664</v>
      </c>
      <c r="K52" s="26">
        <f>361578491-301194-K40-K44-K48-K68</f>
        <v>350049277</v>
      </c>
      <c r="L52" s="26">
        <f>372733475-301194-L40-L44-L48-L68</f>
        <v>361204261</v>
      </c>
      <c r="M52" s="82"/>
      <c r="N52" s="3"/>
    </row>
    <row r="53" spans="1:15" ht="21.75" customHeight="1">
      <c r="A53" s="118"/>
      <c r="B53" s="144"/>
      <c r="C53" s="102"/>
      <c r="D53" s="105"/>
      <c r="E53" s="106"/>
      <c r="F53" s="16" t="s">
        <v>15</v>
      </c>
      <c r="G53" s="26">
        <f>H53+I53+J53+K53+L53</f>
        <v>10581400</v>
      </c>
      <c r="H53" s="26">
        <v>10581400</v>
      </c>
      <c r="I53" s="26">
        <v>0</v>
      </c>
      <c r="J53" s="26">
        <v>0</v>
      </c>
      <c r="K53" s="26">
        <v>0</v>
      </c>
      <c r="L53" s="26">
        <v>0</v>
      </c>
      <c r="M53" s="82"/>
      <c r="N53" s="7"/>
      <c r="O53" s="9"/>
    </row>
    <row r="54" spans="1:13" ht="21.75" customHeight="1">
      <c r="A54" s="116" t="s">
        <v>32</v>
      </c>
      <c r="B54" s="142" t="s">
        <v>21</v>
      </c>
      <c r="C54" s="101" t="s">
        <v>125</v>
      </c>
      <c r="D54" s="103" t="s">
        <v>123</v>
      </c>
      <c r="E54" s="101" t="s">
        <v>106</v>
      </c>
      <c r="F54" s="16" t="s">
        <v>12</v>
      </c>
      <c r="G54" s="26">
        <f aca="true" t="shared" si="14" ref="G54:L54">G55+G56+G57</f>
        <v>5370117.65</v>
      </c>
      <c r="H54" s="26">
        <f t="shared" si="14"/>
        <v>1006307</v>
      </c>
      <c r="I54" s="26">
        <f t="shared" si="14"/>
        <v>1385373.84</v>
      </c>
      <c r="J54" s="26">
        <f t="shared" si="14"/>
        <v>965822.81</v>
      </c>
      <c r="K54" s="26">
        <f t="shared" si="14"/>
        <v>1006307</v>
      </c>
      <c r="L54" s="26">
        <f t="shared" si="14"/>
        <v>1006307</v>
      </c>
      <c r="M54" s="82"/>
    </row>
    <row r="55" spans="1:13" ht="21.75" customHeight="1">
      <c r="A55" s="117"/>
      <c r="B55" s="143"/>
      <c r="C55" s="102"/>
      <c r="D55" s="104"/>
      <c r="E55" s="102"/>
      <c r="F55" s="16" t="s">
        <v>13</v>
      </c>
      <c r="G55" s="26">
        <f>H55+I55+J55+K55+L55</f>
        <v>5370117.65</v>
      </c>
      <c r="H55" s="26">
        <v>1006307</v>
      </c>
      <c r="I55" s="26">
        <f>1199420.42+157723.37+28230.05</f>
        <v>1385373.84</v>
      </c>
      <c r="J55" s="26">
        <v>965822.81</v>
      </c>
      <c r="K55" s="26">
        <f>1006307</f>
        <v>1006307</v>
      </c>
      <c r="L55" s="26">
        <v>1006307</v>
      </c>
      <c r="M55" s="82"/>
    </row>
    <row r="56" spans="1:13" ht="21.75" customHeight="1">
      <c r="A56" s="117"/>
      <c r="B56" s="143"/>
      <c r="C56" s="102"/>
      <c r="D56" s="104"/>
      <c r="E56" s="102"/>
      <c r="F56" s="16" t="s">
        <v>14</v>
      </c>
      <c r="G56" s="26">
        <f>H56+I56+J56+K56+L56</f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82"/>
    </row>
    <row r="57" spans="1:13" ht="21.75" customHeight="1">
      <c r="A57" s="118"/>
      <c r="B57" s="144"/>
      <c r="C57" s="102"/>
      <c r="D57" s="105"/>
      <c r="E57" s="106"/>
      <c r="F57" s="16" t="s">
        <v>15</v>
      </c>
      <c r="G57" s="26">
        <f>H57+I57+J57+K57+L57</f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82"/>
    </row>
    <row r="58" spans="1:13" ht="21.75" customHeight="1">
      <c r="A58" s="116" t="s">
        <v>34</v>
      </c>
      <c r="B58" s="142" t="s">
        <v>23</v>
      </c>
      <c r="C58" s="101" t="s">
        <v>125</v>
      </c>
      <c r="D58" s="103" t="s">
        <v>123</v>
      </c>
      <c r="E58" s="101" t="s">
        <v>106</v>
      </c>
      <c r="F58" s="16" t="s">
        <v>12</v>
      </c>
      <c r="G58" s="26">
        <f aca="true" t="shared" si="15" ref="G58:L58">G59+G60+G61</f>
        <v>155985082.87</v>
      </c>
      <c r="H58" s="26">
        <f t="shared" si="15"/>
        <v>31798849</v>
      </c>
      <c r="I58" s="26">
        <f t="shared" si="15"/>
        <v>36091735.87</v>
      </c>
      <c r="J58" s="26">
        <f t="shared" si="15"/>
        <v>28221557</v>
      </c>
      <c r="K58" s="26">
        <f t="shared" si="15"/>
        <v>28600000</v>
      </c>
      <c r="L58" s="26">
        <f t="shared" si="15"/>
        <v>31272941</v>
      </c>
      <c r="M58" s="82"/>
    </row>
    <row r="59" spans="1:13" ht="21.75" customHeight="1">
      <c r="A59" s="117"/>
      <c r="B59" s="143"/>
      <c r="C59" s="102"/>
      <c r="D59" s="104"/>
      <c r="E59" s="102"/>
      <c r="F59" s="16" t="s">
        <v>13</v>
      </c>
      <c r="G59" s="26">
        <f>H59+I59+J59+K59+L59</f>
        <v>325362.69</v>
      </c>
      <c r="H59" s="26">
        <v>100000</v>
      </c>
      <c r="I59" s="26">
        <f>101833.11+23737.45</f>
        <v>125570.56</v>
      </c>
      <c r="J59" s="26">
        <v>99792.13</v>
      </c>
      <c r="K59" s="26">
        <v>0</v>
      </c>
      <c r="L59" s="26">
        <v>0</v>
      </c>
      <c r="M59" s="82"/>
    </row>
    <row r="60" spans="1:13" ht="21.75" customHeight="1">
      <c r="A60" s="117"/>
      <c r="B60" s="143"/>
      <c r="C60" s="102"/>
      <c r="D60" s="104"/>
      <c r="E60" s="102"/>
      <c r="F60" s="16" t="s">
        <v>14</v>
      </c>
      <c r="G60" s="26">
        <f>H60+I60+J60+K60+L60</f>
        <v>155659720.18</v>
      </c>
      <c r="H60" s="26">
        <v>31698849</v>
      </c>
      <c r="I60" s="26">
        <f>35963535.87+2629.44</f>
        <v>35966165.309999995</v>
      </c>
      <c r="J60" s="26">
        <f>28119724+2040.87</f>
        <v>28121764.87</v>
      </c>
      <c r="K60" s="26">
        <v>28600000</v>
      </c>
      <c r="L60" s="26">
        <v>31272941</v>
      </c>
      <c r="M60" s="82"/>
    </row>
    <row r="61" spans="1:13" ht="21.75" customHeight="1">
      <c r="A61" s="118"/>
      <c r="B61" s="144"/>
      <c r="C61" s="102"/>
      <c r="D61" s="105"/>
      <c r="E61" s="106"/>
      <c r="F61" s="16" t="s">
        <v>15</v>
      </c>
      <c r="G61" s="26">
        <f>H61+I61+J61+K61+L61</f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82"/>
    </row>
    <row r="62" spans="1:13" ht="21.75" customHeight="1">
      <c r="A62" s="116" t="s">
        <v>35</v>
      </c>
      <c r="B62" s="98" t="s">
        <v>37</v>
      </c>
      <c r="C62" s="101" t="s">
        <v>125</v>
      </c>
      <c r="D62" s="119" t="s">
        <v>124</v>
      </c>
      <c r="E62" s="101" t="s">
        <v>106</v>
      </c>
      <c r="F62" s="16" t="s">
        <v>12</v>
      </c>
      <c r="G62" s="26">
        <f aca="true" t="shared" si="16" ref="G62:L62">G63+G64+G65</f>
        <v>4800503.45</v>
      </c>
      <c r="H62" s="26">
        <f t="shared" si="16"/>
        <v>1481975</v>
      </c>
      <c r="I62" s="26">
        <f t="shared" si="16"/>
        <v>653058.45</v>
      </c>
      <c r="J62" s="26">
        <f t="shared" si="16"/>
        <v>888490</v>
      </c>
      <c r="K62" s="26">
        <f t="shared" si="16"/>
        <v>888490</v>
      </c>
      <c r="L62" s="26">
        <f t="shared" si="16"/>
        <v>888490</v>
      </c>
      <c r="M62" s="82"/>
    </row>
    <row r="63" spans="1:13" ht="21.75" customHeight="1">
      <c r="A63" s="117"/>
      <c r="B63" s="99"/>
      <c r="C63" s="102"/>
      <c r="D63" s="120"/>
      <c r="E63" s="102"/>
      <c r="F63" s="16" t="s">
        <v>13</v>
      </c>
      <c r="G63" s="26">
        <f>H63+I63+J63+K63+L63</f>
        <v>4800503.45</v>
      </c>
      <c r="H63" s="26">
        <v>1481975</v>
      </c>
      <c r="I63" s="26">
        <f>1481975-602271.91-226644.64</f>
        <v>653058.45</v>
      </c>
      <c r="J63" s="26">
        <v>888490</v>
      </c>
      <c r="K63" s="26">
        <v>888490</v>
      </c>
      <c r="L63" s="26">
        <v>888490</v>
      </c>
      <c r="M63" s="82"/>
    </row>
    <row r="64" spans="1:13" ht="21.75" customHeight="1">
      <c r="A64" s="117"/>
      <c r="B64" s="99"/>
      <c r="C64" s="102"/>
      <c r="D64" s="120"/>
      <c r="E64" s="102"/>
      <c r="F64" s="16" t="s">
        <v>14</v>
      </c>
      <c r="G64" s="26">
        <f>H64+I64+J64+K64+L64</f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82"/>
    </row>
    <row r="65" spans="1:13" ht="21.75" customHeight="1">
      <c r="A65" s="118"/>
      <c r="B65" s="100"/>
      <c r="C65" s="102"/>
      <c r="D65" s="121"/>
      <c r="E65" s="106"/>
      <c r="F65" s="16" t="s">
        <v>15</v>
      </c>
      <c r="G65" s="26">
        <f>H65+I65+J65+K65+L65</f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82"/>
    </row>
    <row r="66" spans="1:13" ht="21.75" customHeight="1">
      <c r="A66" s="116" t="s">
        <v>36</v>
      </c>
      <c r="B66" s="98" t="s">
        <v>39</v>
      </c>
      <c r="C66" s="101" t="s">
        <v>125</v>
      </c>
      <c r="D66" s="103" t="s">
        <v>123</v>
      </c>
      <c r="E66" s="101" t="s">
        <v>106</v>
      </c>
      <c r="F66" s="16" t="s">
        <v>12</v>
      </c>
      <c r="G66" s="26">
        <f aca="true" t="shared" si="17" ref="G66:L66">G67+G68+G69</f>
        <v>0</v>
      </c>
      <c r="H66" s="26">
        <f t="shared" si="17"/>
        <v>0</v>
      </c>
      <c r="I66" s="26">
        <f t="shared" si="17"/>
        <v>0</v>
      </c>
      <c r="J66" s="26">
        <f t="shared" si="17"/>
        <v>0</v>
      </c>
      <c r="K66" s="26">
        <f t="shared" si="17"/>
        <v>0</v>
      </c>
      <c r="L66" s="26">
        <f t="shared" si="17"/>
        <v>0</v>
      </c>
      <c r="M66" s="82"/>
    </row>
    <row r="67" spans="1:13" ht="21.75" customHeight="1">
      <c r="A67" s="117"/>
      <c r="B67" s="99"/>
      <c r="C67" s="102"/>
      <c r="D67" s="104"/>
      <c r="E67" s="102"/>
      <c r="F67" s="16" t="s">
        <v>13</v>
      </c>
      <c r="G67" s="26">
        <f>H67+I67+J67+K67+L67</f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82"/>
    </row>
    <row r="68" spans="1:13" ht="21.75" customHeight="1">
      <c r="A68" s="117"/>
      <c r="B68" s="99"/>
      <c r="C68" s="102"/>
      <c r="D68" s="104"/>
      <c r="E68" s="102"/>
      <c r="F68" s="16" t="s">
        <v>14</v>
      </c>
      <c r="G68" s="26">
        <f>H68+I68+J68+K68+L68</f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82"/>
    </row>
    <row r="69" spans="1:13" ht="21.75" customHeight="1">
      <c r="A69" s="118"/>
      <c r="B69" s="100"/>
      <c r="C69" s="102"/>
      <c r="D69" s="105"/>
      <c r="E69" s="106"/>
      <c r="F69" s="16" t="s">
        <v>15</v>
      </c>
      <c r="G69" s="26">
        <f>H69+I69+J69+K69+L69</f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82"/>
    </row>
    <row r="70" spans="1:13" ht="21.75" customHeight="1">
      <c r="A70" s="116" t="s">
        <v>38</v>
      </c>
      <c r="B70" s="142" t="s">
        <v>185</v>
      </c>
      <c r="C70" s="101" t="s">
        <v>125</v>
      </c>
      <c r="D70" s="103" t="s">
        <v>123</v>
      </c>
      <c r="E70" s="101" t="s">
        <v>106</v>
      </c>
      <c r="F70" s="16" t="s">
        <v>12</v>
      </c>
      <c r="G70" s="26">
        <f aca="true" t="shared" si="18" ref="G70:L70">G71+G72+G73</f>
        <v>122500520</v>
      </c>
      <c r="H70" s="26">
        <f t="shared" si="18"/>
        <v>0</v>
      </c>
      <c r="I70" s="26">
        <f t="shared" si="18"/>
        <v>30779350</v>
      </c>
      <c r="J70" s="26">
        <f t="shared" si="18"/>
        <v>30279350</v>
      </c>
      <c r="K70" s="26">
        <f t="shared" si="18"/>
        <v>30279350</v>
      </c>
      <c r="L70" s="26">
        <f t="shared" si="18"/>
        <v>31162470</v>
      </c>
      <c r="M70" s="82"/>
    </row>
    <row r="71" spans="1:13" ht="21.75" customHeight="1">
      <c r="A71" s="117"/>
      <c r="B71" s="143"/>
      <c r="C71" s="102"/>
      <c r="D71" s="104"/>
      <c r="E71" s="102"/>
      <c r="F71" s="16" t="s">
        <v>13</v>
      </c>
      <c r="G71" s="26">
        <f>H71+I71+J71+K71+L71</f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82"/>
    </row>
    <row r="72" spans="1:13" ht="21.75" customHeight="1">
      <c r="A72" s="117"/>
      <c r="B72" s="143"/>
      <c r="C72" s="102"/>
      <c r="D72" s="104"/>
      <c r="E72" s="102"/>
      <c r="F72" s="16" t="s">
        <v>14</v>
      </c>
      <c r="G72" s="26">
        <f>H72+I72+J72+K72+L72</f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82"/>
    </row>
    <row r="73" spans="1:13" ht="21.75" customHeight="1">
      <c r="A73" s="118"/>
      <c r="B73" s="144"/>
      <c r="C73" s="102"/>
      <c r="D73" s="105"/>
      <c r="E73" s="106"/>
      <c r="F73" s="16" t="s">
        <v>15</v>
      </c>
      <c r="G73" s="26">
        <f>H73+I73+J73+K73+L73</f>
        <v>122500520</v>
      </c>
      <c r="H73" s="26">
        <v>0</v>
      </c>
      <c r="I73" s="26">
        <v>30779350</v>
      </c>
      <c r="J73" s="26">
        <v>30279350</v>
      </c>
      <c r="K73" s="26">
        <v>30279350</v>
      </c>
      <c r="L73" s="26">
        <v>31162470</v>
      </c>
      <c r="M73" s="82"/>
    </row>
    <row r="74" spans="1:13" ht="21.75" customHeight="1">
      <c r="A74" s="95" t="s">
        <v>183</v>
      </c>
      <c r="B74" s="98" t="s">
        <v>182</v>
      </c>
      <c r="C74" s="101" t="s">
        <v>125</v>
      </c>
      <c r="D74" s="103" t="s">
        <v>135</v>
      </c>
      <c r="E74" s="101" t="s">
        <v>106</v>
      </c>
      <c r="F74" s="16" t="s">
        <v>12</v>
      </c>
      <c r="G74" s="26">
        <f aca="true" t="shared" si="19" ref="G74:L74">G75+G76+G77</f>
        <v>1670133</v>
      </c>
      <c r="H74" s="26">
        <f t="shared" si="19"/>
        <v>0</v>
      </c>
      <c r="I74" s="26">
        <f t="shared" si="19"/>
        <v>0</v>
      </c>
      <c r="J74" s="26">
        <f t="shared" si="19"/>
        <v>556711</v>
      </c>
      <c r="K74" s="26">
        <f t="shared" si="19"/>
        <v>556711</v>
      </c>
      <c r="L74" s="26">
        <f t="shared" si="19"/>
        <v>556711</v>
      </c>
      <c r="M74" s="82"/>
    </row>
    <row r="75" spans="1:13" ht="21.75" customHeight="1">
      <c r="A75" s="96"/>
      <c r="B75" s="99"/>
      <c r="C75" s="102"/>
      <c r="D75" s="104"/>
      <c r="E75" s="102"/>
      <c r="F75" s="16" t="s">
        <v>13</v>
      </c>
      <c r="G75" s="26">
        <f>H75+I75+J75+K75+L75</f>
        <v>1670133</v>
      </c>
      <c r="H75" s="26"/>
      <c r="I75" s="26"/>
      <c r="J75" s="26">
        <v>556711</v>
      </c>
      <c r="K75" s="26">
        <v>556711</v>
      </c>
      <c r="L75" s="26">
        <v>556711</v>
      </c>
      <c r="M75" s="82"/>
    </row>
    <row r="76" spans="1:13" ht="21.75" customHeight="1">
      <c r="A76" s="96"/>
      <c r="B76" s="99"/>
      <c r="C76" s="102"/>
      <c r="D76" s="104"/>
      <c r="E76" s="102"/>
      <c r="F76" s="16" t="s">
        <v>14</v>
      </c>
      <c r="G76" s="26">
        <f>H76+I76+J76+K76+L76</f>
        <v>0</v>
      </c>
      <c r="H76" s="26"/>
      <c r="I76" s="26"/>
      <c r="J76" s="26">
        <v>0</v>
      </c>
      <c r="K76" s="26">
        <v>0</v>
      </c>
      <c r="L76" s="26">
        <v>0</v>
      </c>
      <c r="M76" s="82"/>
    </row>
    <row r="77" spans="1:13" ht="21.75" customHeight="1">
      <c r="A77" s="97"/>
      <c r="B77" s="100"/>
      <c r="C77" s="102"/>
      <c r="D77" s="105"/>
      <c r="E77" s="106"/>
      <c r="F77" s="16" t="s">
        <v>15</v>
      </c>
      <c r="G77" s="26">
        <f>H77+I77+J77+K77+L77</f>
        <v>0</v>
      </c>
      <c r="H77" s="26"/>
      <c r="I77" s="26"/>
      <c r="J77" s="26">
        <v>0</v>
      </c>
      <c r="K77" s="26">
        <v>0</v>
      </c>
      <c r="L77" s="26">
        <v>0</v>
      </c>
      <c r="M77" s="82"/>
    </row>
    <row r="78" spans="1:13" ht="21.75" customHeight="1">
      <c r="A78" s="69"/>
      <c r="B78" s="98" t="s">
        <v>83</v>
      </c>
      <c r="C78" s="101" t="s">
        <v>125</v>
      </c>
      <c r="D78" s="119" t="s">
        <v>124</v>
      </c>
      <c r="E78" s="101" t="s">
        <v>106</v>
      </c>
      <c r="F78" s="16" t="s">
        <v>12</v>
      </c>
      <c r="G78" s="26">
        <f aca="true" t="shared" si="20" ref="G78:L78">G79+G80+G81</f>
        <v>300000</v>
      </c>
      <c r="H78" s="26">
        <f>H79+H80+H81</f>
        <v>60000</v>
      </c>
      <c r="I78" s="26">
        <f>I79+I80+I81</f>
        <v>60000</v>
      </c>
      <c r="J78" s="26">
        <f>J79+J80+J81</f>
        <v>60000</v>
      </c>
      <c r="K78" s="26">
        <f t="shared" si="20"/>
        <v>60000</v>
      </c>
      <c r="L78" s="26">
        <f t="shared" si="20"/>
        <v>60000</v>
      </c>
      <c r="M78" s="82"/>
    </row>
    <row r="79" spans="1:13" ht="21.75" customHeight="1">
      <c r="A79" s="69"/>
      <c r="B79" s="99"/>
      <c r="C79" s="102"/>
      <c r="D79" s="120"/>
      <c r="E79" s="102"/>
      <c r="F79" s="16" t="s">
        <v>13</v>
      </c>
      <c r="G79" s="26">
        <f>H79+I79+J79+K79+L79</f>
        <v>300000</v>
      </c>
      <c r="H79" s="26">
        <v>60000</v>
      </c>
      <c r="I79" s="26">
        <v>60000</v>
      </c>
      <c r="J79" s="26">
        <v>60000</v>
      </c>
      <c r="K79" s="26">
        <v>60000</v>
      </c>
      <c r="L79" s="26">
        <v>60000</v>
      </c>
      <c r="M79" s="82"/>
    </row>
    <row r="80" spans="1:13" ht="21.75" customHeight="1">
      <c r="A80" s="71" t="s">
        <v>186</v>
      </c>
      <c r="B80" s="99"/>
      <c r="C80" s="102"/>
      <c r="D80" s="120"/>
      <c r="E80" s="102"/>
      <c r="F80" s="16" t="s">
        <v>14</v>
      </c>
      <c r="G80" s="26">
        <f>H80+I80+J80+K80+L80</f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82"/>
    </row>
    <row r="81" spans="1:13" ht="21" customHeight="1">
      <c r="A81" s="69"/>
      <c r="B81" s="100"/>
      <c r="C81" s="102"/>
      <c r="D81" s="121"/>
      <c r="E81" s="106"/>
      <c r="F81" s="16" t="s">
        <v>15</v>
      </c>
      <c r="G81" s="26">
        <f>H81+I81+J81+K81+L81</f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122"/>
    </row>
    <row r="82" spans="1:13" ht="21.75" customHeight="1">
      <c r="A82" s="182" t="s">
        <v>207</v>
      </c>
      <c r="B82" s="98" t="s">
        <v>195</v>
      </c>
      <c r="C82" s="101" t="s">
        <v>125</v>
      </c>
      <c r="D82" s="101" t="s">
        <v>143</v>
      </c>
      <c r="E82" s="101" t="s">
        <v>106</v>
      </c>
      <c r="F82" s="16" t="s">
        <v>12</v>
      </c>
      <c r="G82" s="26" t="e">
        <f aca="true" t="shared" si="21" ref="G82:L82">G83+G84+G85</f>
        <v>#REF!</v>
      </c>
      <c r="H82" s="26">
        <f t="shared" si="21"/>
        <v>0</v>
      </c>
      <c r="I82" s="26">
        <f t="shared" si="21"/>
        <v>0</v>
      </c>
      <c r="J82" s="26" t="e">
        <f t="shared" si="21"/>
        <v>#REF!</v>
      </c>
      <c r="K82" s="26">
        <f t="shared" si="21"/>
        <v>106202</v>
      </c>
      <c r="L82" s="26">
        <f t="shared" si="21"/>
        <v>106202</v>
      </c>
      <c r="M82" s="81" t="s">
        <v>204</v>
      </c>
    </row>
    <row r="83" spans="1:13" ht="21.75" customHeight="1">
      <c r="A83" s="183"/>
      <c r="B83" s="99"/>
      <c r="C83" s="102"/>
      <c r="D83" s="102"/>
      <c r="E83" s="102"/>
      <c r="F83" s="16" t="s">
        <v>13</v>
      </c>
      <c r="G83" s="26">
        <f>H83+I83+J83+K83+L83</f>
        <v>158400</v>
      </c>
      <c r="H83" s="26">
        <v>0</v>
      </c>
      <c r="I83" s="26">
        <v>0</v>
      </c>
      <c r="J83" s="26">
        <f>176000-123200</f>
        <v>52800</v>
      </c>
      <c r="K83" s="26">
        <f>106202-53402</f>
        <v>52800</v>
      </c>
      <c r="L83" s="26">
        <f>106202-53402</f>
        <v>52800</v>
      </c>
      <c r="M83" s="82"/>
    </row>
    <row r="84" spans="1:13" ht="21.75" customHeight="1">
      <c r="A84" s="183"/>
      <c r="B84" s="99"/>
      <c r="C84" s="102"/>
      <c r="D84" s="102"/>
      <c r="E84" s="102"/>
      <c r="F84" s="16" t="s">
        <v>14</v>
      </c>
      <c r="G84" s="26" t="e">
        <f>H84+I84+J84+K84+L84</f>
        <v>#REF!</v>
      </c>
      <c r="H84" s="26">
        <v>0</v>
      </c>
      <c r="I84" s="26">
        <v>0</v>
      </c>
      <c r="J84" s="26" t="e">
        <f>#REF!</f>
        <v>#REF!</v>
      </c>
      <c r="K84" s="26">
        <v>53402</v>
      </c>
      <c r="L84" s="26">
        <v>53402</v>
      </c>
      <c r="M84" s="82"/>
    </row>
    <row r="85" spans="1:13" ht="21.75" customHeight="1">
      <c r="A85" s="184"/>
      <c r="B85" s="100"/>
      <c r="C85" s="106"/>
      <c r="D85" s="106"/>
      <c r="E85" s="106"/>
      <c r="F85" s="16" t="s">
        <v>15</v>
      </c>
      <c r="G85" s="26">
        <f>H85+I85+J85+K85+L85</f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82"/>
    </row>
    <row r="86" spans="1:13" ht="21.75" customHeight="1">
      <c r="A86" s="145" t="s">
        <v>40</v>
      </c>
      <c r="B86" s="148" t="s">
        <v>41</v>
      </c>
      <c r="C86" s="151" t="s">
        <v>125</v>
      </c>
      <c r="D86" s="154" t="s">
        <v>135</v>
      </c>
      <c r="E86" s="151" t="s">
        <v>106</v>
      </c>
      <c r="F86" s="42" t="s">
        <v>12</v>
      </c>
      <c r="G86" s="43">
        <f aca="true" t="shared" si="22" ref="G86:L86">G87+G88+G89</f>
        <v>4765804</v>
      </c>
      <c r="H86" s="43">
        <f>H87+H88+H89</f>
        <v>943488</v>
      </c>
      <c r="I86" s="43">
        <f>I87+I88+I89</f>
        <v>953488</v>
      </c>
      <c r="J86" s="43">
        <f>J87+J88+J89</f>
        <v>956276</v>
      </c>
      <c r="K86" s="43">
        <f t="shared" si="22"/>
        <v>956276</v>
      </c>
      <c r="L86" s="43">
        <f t="shared" si="22"/>
        <v>956276</v>
      </c>
      <c r="M86" s="81" t="s">
        <v>150</v>
      </c>
    </row>
    <row r="87" spans="1:13" ht="21.75" customHeight="1">
      <c r="A87" s="146"/>
      <c r="B87" s="149"/>
      <c r="C87" s="152"/>
      <c r="D87" s="155"/>
      <c r="E87" s="152"/>
      <c r="F87" s="42" t="s">
        <v>13</v>
      </c>
      <c r="G87" s="43">
        <f>H87+I87+J87+K87+L87</f>
        <v>490000</v>
      </c>
      <c r="H87" s="43">
        <f aca="true" t="shared" si="23" ref="H87:L89">H91+H95</f>
        <v>90000</v>
      </c>
      <c r="I87" s="43">
        <f t="shared" si="23"/>
        <v>100000</v>
      </c>
      <c r="J87" s="43">
        <f t="shared" si="23"/>
        <v>100000</v>
      </c>
      <c r="K87" s="43">
        <f t="shared" si="23"/>
        <v>100000</v>
      </c>
      <c r="L87" s="43">
        <f t="shared" si="23"/>
        <v>100000</v>
      </c>
      <c r="M87" s="82"/>
    </row>
    <row r="88" spans="1:13" ht="21.75" customHeight="1">
      <c r="A88" s="146"/>
      <c r="B88" s="149"/>
      <c r="C88" s="152"/>
      <c r="D88" s="155"/>
      <c r="E88" s="152"/>
      <c r="F88" s="42" t="s">
        <v>14</v>
      </c>
      <c r="G88" s="43">
        <f>H88+I88+J88+K88+L88</f>
        <v>4275804</v>
      </c>
      <c r="H88" s="43">
        <f t="shared" si="23"/>
        <v>853488</v>
      </c>
      <c r="I88" s="43">
        <f t="shared" si="23"/>
        <v>853488</v>
      </c>
      <c r="J88" s="43">
        <f t="shared" si="23"/>
        <v>856276</v>
      </c>
      <c r="K88" s="43">
        <f t="shared" si="23"/>
        <v>856276</v>
      </c>
      <c r="L88" s="43">
        <f t="shared" si="23"/>
        <v>856276</v>
      </c>
      <c r="M88" s="82"/>
    </row>
    <row r="89" spans="1:13" ht="21.75" customHeight="1">
      <c r="A89" s="147"/>
      <c r="B89" s="150"/>
      <c r="C89" s="153"/>
      <c r="D89" s="156"/>
      <c r="E89" s="153"/>
      <c r="F89" s="42" t="s">
        <v>15</v>
      </c>
      <c r="G89" s="43">
        <f>H89+I89+J89+K89+L89</f>
        <v>0</v>
      </c>
      <c r="H89" s="43">
        <f t="shared" si="23"/>
        <v>0</v>
      </c>
      <c r="I89" s="43">
        <f t="shared" si="23"/>
        <v>0</v>
      </c>
      <c r="J89" s="43">
        <f t="shared" si="23"/>
        <v>0</v>
      </c>
      <c r="K89" s="43">
        <f t="shared" si="23"/>
        <v>0</v>
      </c>
      <c r="L89" s="43">
        <f t="shared" si="23"/>
        <v>0</v>
      </c>
      <c r="M89" s="82"/>
    </row>
    <row r="90" spans="1:13" ht="21.75" customHeight="1">
      <c r="A90" s="10"/>
      <c r="B90" s="98" t="s">
        <v>86</v>
      </c>
      <c r="C90" s="101" t="s">
        <v>125</v>
      </c>
      <c r="D90" s="103" t="s">
        <v>135</v>
      </c>
      <c r="E90" s="101" t="s">
        <v>106</v>
      </c>
      <c r="F90" s="16" t="s">
        <v>12</v>
      </c>
      <c r="G90" s="26">
        <f aca="true" t="shared" si="24" ref="G90:L90">G91+G92+G93</f>
        <v>490000</v>
      </c>
      <c r="H90" s="26">
        <f t="shared" si="24"/>
        <v>90000</v>
      </c>
      <c r="I90" s="26">
        <f t="shared" si="24"/>
        <v>100000</v>
      </c>
      <c r="J90" s="26">
        <f t="shared" si="24"/>
        <v>100000</v>
      </c>
      <c r="K90" s="26">
        <f t="shared" si="24"/>
        <v>100000</v>
      </c>
      <c r="L90" s="26">
        <f t="shared" si="24"/>
        <v>100000</v>
      </c>
      <c r="M90" s="82"/>
    </row>
    <row r="91" spans="1:13" ht="21.75" customHeight="1">
      <c r="A91" s="10"/>
      <c r="B91" s="99"/>
      <c r="C91" s="102"/>
      <c r="D91" s="104"/>
      <c r="E91" s="102"/>
      <c r="F91" s="16" t="s">
        <v>13</v>
      </c>
      <c r="G91" s="26">
        <f>H91+I91+J91+K91+L91</f>
        <v>490000</v>
      </c>
      <c r="H91" s="26">
        <v>90000</v>
      </c>
      <c r="I91" s="26">
        <f>100000</f>
        <v>100000</v>
      </c>
      <c r="J91" s="26">
        <v>100000</v>
      </c>
      <c r="K91" s="26">
        <v>100000</v>
      </c>
      <c r="L91" s="26">
        <v>100000</v>
      </c>
      <c r="M91" s="82"/>
    </row>
    <row r="92" spans="1:13" ht="21.75" customHeight="1">
      <c r="A92" s="71" t="s">
        <v>93</v>
      </c>
      <c r="B92" s="99"/>
      <c r="C92" s="102"/>
      <c r="D92" s="104"/>
      <c r="E92" s="102"/>
      <c r="F92" s="16" t="s">
        <v>14</v>
      </c>
      <c r="G92" s="26">
        <f>H92+I92+J92+K92+L92</f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82"/>
    </row>
    <row r="93" spans="1:13" ht="21.75" customHeight="1">
      <c r="A93" s="10"/>
      <c r="B93" s="100"/>
      <c r="C93" s="102"/>
      <c r="D93" s="105"/>
      <c r="E93" s="106"/>
      <c r="F93" s="16" t="s">
        <v>15</v>
      </c>
      <c r="G93" s="26">
        <f>H93+I93+J93+K93+L93</f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82"/>
    </row>
    <row r="94" spans="1:13" ht="21.75" customHeight="1">
      <c r="A94" s="116" t="s">
        <v>92</v>
      </c>
      <c r="B94" s="98" t="s">
        <v>42</v>
      </c>
      <c r="C94" s="101" t="s">
        <v>125</v>
      </c>
      <c r="D94" s="103" t="s">
        <v>123</v>
      </c>
      <c r="E94" s="101" t="s">
        <v>106</v>
      </c>
      <c r="F94" s="16" t="s">
        <v>12</v>
      </c>
      <c r="G94" s="26">
        <f aca="true" t="shared" si="25" ref="G94:L94">G95+G96+G97</f>
        <v>4275804</v>
      </c>
      <c r="H94" s="26">
        <f t="shared" si="25"/>
        <v>853488</v>
      </c>
      <c r="I94" s="26">
        <f t="shared" si="25"/>
        <v>853488</v>
      </c>
      <c r="J94" s="26">
        <f t="shared" si="25"/>
        <v>856276</v>
      </c>
      <c r="K94" s="26">
        <f t="shared" si="25"/>
        <v>856276</v>
      </c>
      <c r="L94" s="26">
        <f t="shared" si="25"/>
        <v>856276</v>
      </c>
      <c r="M94" s="82"/>
    </row>
    <row r="95" spans="1:13" ht="21.75" customHeight="1">
      <c r="A95" s="117"/>
      <c r="B95" s="99"/>
      <c r="C95" s="102"/>
      <c r="D95" s="104"/>
      <c r="E95" s="102"/>
      <c r="F95" s="16" t="s">
        <v>13</v>
      </c>
      <c r="G95" s="26">
        <f>H95+I95+J95+K95+L95</f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82"/>
    </row>
    <row r="96" spans="1:14" ht="21.75" customHeight="1">
      <c r="A96" s="117"/>
      <c r="B96" s="99"/>
      <c r="C96" s="102"/>
      <c r="D96" s="104"/>
      <c r="E96" s="102"/>
      <c r="F96" s="16" t="s">
        <v>14</v>
      </c>
      <c r="G96" s="26">
        <f>H96+I96+J96+K96+L96</f>
        <v>4275804</v>
      </c>
      <c r="H96" s="26">
        <f>127900+293084+432504</f>
        <v>853488</v>
      </c>
      <c r="I96" s="26">
        <f>127900+293084+432504</f>
        <v>853488</v>
      </c>
      <c r="J96" s="26">
        <f>127214+301194+427868</f>
        <v>856276</v>
      </c>
      <c r="K96" s="26">
        <f>127214+301194+427868</f>
        <v>856276</v>
      </c>
      <c r="L96" s="26">
        <f>127214+301194+427868</f>
        <v>856276</v>
      </c>
      <c r="M96" s="82"/>
      <c r="N96" s="11"/>
    </row>
    <row r="97" spans="1:13" ht="21.75" customHeight="1">
      <c r="A97" s="118"/>
      <c r="B97" s="100"/>
      <c r="C97" s="102"/>
      <c r="D97" s="105"/>
      <c r="E97" s="106"/>
      <c r="F97" s="16" t="s">
        <v>15</v>
      </c>
      <c r="G97" s="26">
        <f>H97+I97+J97+K97+L97</f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122"/>
    </row>
    <row r="98" spans="1:13" ht="21.75" customHeight="1">
      <c r="A98" s="145" t="s">
        <v>43</v>
      </c>
      <c r="B98" s="148" t="s">
        <v>44</v>
      </c>
      <c r="C98" s="151" t="s">
        <v>125</v>
      </c>
      <c r="D98" s="154" t="s">
        <v>136</v>
      </c>
      <c r="E98" s="151" t="s">
        <v>106</v>
      </c>
      <c r="F98" s="42" t="s">
        <v>12</v>
      </c>
      <c r="G98" s="43">
        <f aca="true" t="shared" si="26" ref="G98:L98">G99+G100+G101</f>
        <v>480133005.95000005</v>
      </c>
      <c r="H98" s="43">
        <f>H99+H100+H101</f>
        <v>84695056.78</v>
      </c>
      <c r="I98" s="43">
        <f>I99+I100+I101</f>
        <v>96970505.43</v>
      </c>
      <c r="J98" s="43">
        <f>J99+J100+J101</f>
        <v>98856727.93</v>
      </c>
      <c r="K98" s="43">
        <f t="shared" si="26"/>
        <v>100195155.28</v>
      </c>
      <c r="L98" s="43">
        <f t="shared" si="26"/>
        <v>99415560.53</v>
      </c>
      <c r="M98" s="157" t="s">
        <v>162</v>
      </c>
    </row>
    <row r="99" spans="1:13" ht="21.75" customHeight="1">
      <c r="A99" s="146"/>
      <c r="B99" s="149"/>
      <c r="C99" s="152"/>
      <c r="D99" s="155"/>
      <c r="E99" s="152"/>
      <c r="F99" s="42" t="s">
        <v>13</v>
      </c>
      <c r="G99" s="43">
        <f>H99+I99+J99+K99+L99</f>
        <v>95367602.66</v>
      </c>
      <c r="H99" s="43">
        <f aca="true" t="shared" si="27" ref="H99:L101">H103+H107+H119+H111+H115</f>
        <v>19269008.78</v>
      </c>
      <c r="I99" s="43">
        <f t="shared" si="27"/>
        <v>20033854.14</v>
      </c>
      <c r="J99" s="43">
        <f>J103+J107+J119+J111+J115</f>
        <v>20998386.93</v>
      </c>
      <c r="K99" s="43">
        <f t="shared" si="27"/>
        <v>19680921.28</v>
      </c>
      <c r="L99" s="43">
        <f t="shared" si="27"/>
        <v>15385431.53</v>
      </c>
      <c r="M99" s="158"/>
    </row>
    <row r="100" spans="1:13" ht="21.75" customHeight="1">
      <c r="A100" s="146"/>
      <c r="B100" s="149"/>
      <c r="C100" s="152"/>
      <c r="D100" s="155"/>
      <c r="E100" s="152"/>
      <c r="F100" s="42" t="s">
        <v>14</v>
      </c>
      <c r="G100" s="43">
        <f>H100+I100+J100+K100+L100</f>
        <v>384765403.29</v>
      </c>
      <c r="H100" s="43">
        <f t="shared" si="27"/>
        <v>65426048</v>
      </c>
      <c r="I100" s="43">
        <f t="shared" si="27"/>
        <v>76936651.29</v>
      </c>
      <c r="J100" s="43">
        <f>J104+J108+J120+J112+J116</f>
        <v>77858341</v>
      </c>
      <c r="K100" s="43">
        <f t="shared" si="27"/>
        <v>80514234</v>
      </c>
      <c r="L100" s="43">
        <f t="shared" si="27"/>
        <v>84030129</v>
      </c>
      <c r="M100" s="158"/>
    </row>
    <row r="101" spans="1:13" ht="21.75" customHeight="1">
      <c r="A101" s="147"/>
      <c r="B101" s="150"/>
      <c r="C101" s="153"/>
      <c r="D101" s="156"/>
      <c r="E101" s="153"/>
      <c r="F101" s="42" t="s">
        <v>15</v>
      </c>
      <c r="G101" s="43">
        <f>H101+I101+J101+K101+L101</f>
        <v>0</v>
      </c>
      <c r="H101" s="43">
        <f t="shared" si="27"/>
        <v>0</v>
      </c>
      <c r="I101" s="43">
        <f t="shared" si="27"/>
        <v>0</v>
      </c>
      <c r="J101" s="43">
        <f t="shared" si="27"/>
        <v>0</v>
      </c>
      <c r="K101" s="43">
        <f t="shared" si="27"/>
        <v>0</v>
      </c>
      <c r="L101" s="43">
        <f t="shared" si="27"/>
        <v>0</v>
      </c>
      <c r="M101" s="158"/>
    </row>
    <row r="102" spans="1:13" ht="21.75" customHeight="1">
      <c r="A102" s="116" t="s">
        <v>45</v>
      </c>
      <c r="B102" s="98" t="s">
        <v>82</v>
      </c>
      <c r="C102" s="101" t="s">
        <v>125</v>
      </c>
      <c r="D102" s="103" t="s">
        <v>135</v>
      </c>
      <c r="E102" s="101" t="s">
        <v>106</v>
      </c>
      <c r="F102" s="16" t="s">
        <v>12</v>
      </c>
      <c r="G102" s="26">
        <f aca="true" t="shared" si="28" ref="G102:L102">G103+G104+G105</f>
        <v>397209861.13</v>
      </c>
      <c r="H102" s="26">
        <f t="shared" si="28"/>
        <v>75416376.46000001</v>
      </c>
      <c r="I102" s="26">
        <f t="shared" si="28"/>
        <v>78327455.74</v>
      </c>
      <c r="J102" s="26">
        <f t="shared" si="28"/>
        <v>81078227.93</v>
      </c>
      <c r="K102" s="26">
        <f t="shared" si="28"/>
        <v>81989339</v>
      </c>
      <c r="L102" s="26">
        <f t="shared" si="28"/>
        <v>80398462</v>
      </c>
      <c r="M102" s="158"/>
    </row>
    <row r="103" spans="1:15" ht="21.75" customHeight="1">
      <c r="A103" s="117"/>
      <c r="B103" s="99"/>
      <c r="C103" s="102"/>
      <c r="D103" s="104"/>
      <c r="E103" s="102"/>
      <c r="F103" s="16" t="s">
        <v>13</v>
      </c>
      <c r="G103" s="26">
        <f>H103+I103+J103+K103+L103</f>
        <v>77807245.9</v>
      </c>
      <c r="H103" s="26">
        <v>17880557.46</v>
      </c>
      <c r="I103" s="26">
        <f>15484283.05-117000+1049417.39</f>
        <v>16416700.440000001</v>
      </c>
      <c r="J103" s="26">
        <v>17127247</v>
      </c>
      <c r="K103" s="26">
        <v>15367283</v>
      </c>
      <c r="L103" s="26">
        <v>11015458</v>
      </c>
      <c r="M103" s="158"/>
      <c r="N103" s="12"/>
      <c r="O103" s="7"/>
    </row>
    <row r="104" spans="1:13" ht="21.75" customHeight="1">
      <c r="A104" s="117"/>
      <c r="B104" s="99"/>
      <c r="C104" s="102"/>
      <c r="D104" s="104"/>
      <c r="E104" s="102"/>
      <c r="F104" s="16" t="s">
        <v>14</v>
      </c>
      <c r="G104" s="26">
        <f>H104+I104+J104+K104+L104</f>
        <v>319402615.23</v>
      </c>
      <c r="H104" s="26">
        <f>57968323-432504</f>
        <v>57535819</v>
      </c>
      <c r="I104" s="26">
        <f>62343259.3-432504</f>
        <v>61910755.3</v>
      </c>
      <c r="J104" s="26">
        <f>64378848.93-427868</f>
        <v>63950980.93</v>
      </c>
      <c r="K104" s="26">
        <f>67049924-427868</f>
        <v>66622056</v>
      </c>
      <c r="L104" s="26">
        <f>69810872-427868</f>
        <v>69383004</v>
      </c>
      <c r="M104" s="158"/>
    </row>
    <row r="105" spans="1:13" ht="21.75" customHeight="1">
      <c r="A105" s="118"/>
      <c r="B105" s="100"/>
      <c r="C105" s="102"/>
      <c r="D105" s="105"/>
      <c r="E105" s="106"/>
      <c r="F105" s="16" t="s">
        <v>15</v>
      </c>
      <c r="G105" s="26">
        <f>H105+I105+J105+K105+L105</f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158"/>
    </row>
    <row r="106" spans="1:13" ht="21.75" customHeight="1">
      <c r="A106" s="116" t="s">
        <v>46</v>
      </c>
      <c r="B106" s="142" t="s">
        <v>21</v>
      </c>
      <c r="C106" s="101" t="s">
        <v>125</v>
      </c>
      <c r="D106" s="119" t="s">
        <v>132</v>
      </c>
      <c r="E106" s="101" t="s">
        <v>106</v>
      </c>
      <c r="F106" s="16" t="s">
        <v>12</v>
      </c>
      <c r="G106" s="26">
        <f aca="true" t="shared" si="29" ref="G106:L106">G107+G108+G109</f>
        <v>374205.13</v>
      </c>
      <c r="H106" s="26">
        <f t="shared" si="29"/>
        <v>48537.82</v>
      </c>
      <c r="I106" s="26">
        <f t="shared" si="29"/>
        <v>103165.31</v>
      </c>
      <c r="J106" s="26">
        <f t="shared" si="29"/>
        <v>125426</v>
      </c>
      <c r="K106" s="26">
        <f t="shared" si="29"/>
        <v>48538</v>
      </c>
      <c r="L106" s="26">
        <f t="shared" si="29"/>
        <v>48538</v>
      </c>
      <c r="M106" s="158"/>
    </row>
    <row r="107" spans="1:13" ht="21.75" customHeight="1">
      <c r="A107" s="117"/>
      <c r="B107" s="143"/>
      <c r="C107" s="102"/>
      <c r="D107" s="120"/>
      <c r="E107" s="102"/>
      <c r="F107" s="16" t="s">
        <v>13</v>
      </c>
      <c r="G107" s="26">
        <f>H107+I107+J107+K107+L107</f>
        <v>374205.13</v>
      </c>
      <c r="H107" s="26">
        <f>48538-0.18</f>
        <v>48537.82</v>
      </c>
      <c r="I107" s="26">
        <f>94165.31+9000</f>
        <v>103165.31</v>
      </c>
      <c r="J107" s="26">
        <v>125426</v>
      </c>
      <c r="K107" s="26">
        <v>48538</v>
      </c>
      <c r="L107" s="26">
        <v>48538</v>
      </c>
      <c r="M107" s="158"/>
    </row>
    <row r="108" spans="1:13" ht="21.75" customHeight="1">
      <c r="A108" s="117"/>
      <c r="B108" s="143"/>
      <c r="C108" s="102"/>
      <c r="D108" s="120"/>
      <c r="E108" s="102"/>
      <c r="F108" s="16" t="s">
        <v>14</v>
      </c>
      <c r="G108" s="26">
        <f>H108+I108+J108+K108+L108</f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158"/>
    </row>
    <row r="109" spans="1:13" ht="21.75" customHeight="1">
      <c r="A109" s="118"/>
      <c r="B109" s="144"/>
      <c r="C109" s="102"/>
      <c r="D109" s="121"/>
      <c r="E109" s="106"/>
      <c r="F109" s="16" t="s">
        <v>15</v>
      </c>
      <c r="G109" s="26">
        <f>H109+I109+J109+K109+L109</f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158"/>
    </row>
    <row r="110" spans="1:13" ht="21.75" customHeight="1">
      <c r="A110" s="69"/>
      <c r="B110" s="142" t="s">
        <v>96</v>
      </c>
      <c r="C110" s="101" t="s">
        <v>125</v>
      </c>
      <c r="D110" s="119" t="s">
        <v>133</v>
      </c>
      <c r="E110" s="101" t="s">
        <v>106</v>
      </c>
      <c r="F110" s="16" t="s">
        <v>12</v>
      </c>
      <c r="G110" s="26">
        <f aca="true" t="shared" si="30" ref="G110:L110">G111+G112+G113</f>
        <v>3987641.65</v>
      </c>
      <c r="H110" s="26">
        <f t="shared" si="30"/>
        <v>393480</v>
      </c>
      <c r="I110" s="26">
        <f t="shared" si="30"/>
        <v>1094161.65</v>
      </c>
      <c r="J110" s="26">
        <f t="shared" si="30"/>
        <v>500000</v>
      </c>
      <c r="K110" s="26">
        <f t="shared" si="30"/>
        <v>1000000</v>
      </c>
      <c r="L110" s="26">
        <f t="shared" si="30"/>
        <v>1000000</v>
      </c>
      <c r="M110" s="158"/>
    </row>
    <row r="111" spans="1:13" ht="21.75" customHeight="1">
      <c r="A111" s="69"/>
      <c r="B111" s="143"/>
      <c r="C111" s="102"/>
      <c r="D111" s="120"/>
      <c r="E111" s="102"/>
      <c r="F111" s="16" t="s">
        <v>13</v>
      </c>
      <c r="G111" s="26">
        <f>H111+I111+J111+K111+L111</f>
        <v>3987641.65</v>
      </c>
      <c r="H111" s="26">
        <v>393480</v>
      </c>
      <c r="I111" s="26">
        <f>20000+1074161.65</f>
        <v>1094161.65</v>
      </c>
      <c r="J111" s="26">
        <v>500000</v>
      </c>
      <c r="K111" s="26">
        <v>1000000</v>
      </c>
      <c r="L111" s="26">
        <v>1000000</v>
      </c>
      <c r="M111" s="158"/>
    </row>
    <row r="112" spans="1:13" ht="21.75" customHeight="1">
      <c r="A112" s="71" t="s">
        <v>95</v>
      </c>
      <c r="B112" s="143"/>
      <c r="C112" s="102"/>
      <c r="D112" s="120"/>
      <c r="E112" s="102"/>
      <c r="F112" s="16" t="s">
        <v>14</v>
      </c>
      <c r="G112" s="26">
        <f>H112+I112+J112+K112+L112</f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158"/>
    </row>
    <row r="113" spans="1:13" ht="21.75" customHeight="1">
      <c r="A113" s="69"/>
      <c r="B113" s="144"/>
      <c r="C113" s="102"/>
      <c r="D113" s="121"/>
      <c r="E113" s="106"/>
      <c r="F113" s="16" t="s">
        <v>15</v>
      </c>
      <c r="G113" s="26">
        <f>H113+I113+J113+K113+L113</f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158"/>
    </row>
    <row r="114" spans="1:13" ht="21.75" customHeight="1">
      <c r="A114" s="116" t="s">
        <v>94</v>
      </c>
      <c r="B114" s="142" t="s">
        <v>23</v>
      </c>
      <c r="C114" s="101" t="s">
        <v>125</v>
      </c>
      <c r="D114" s="119" t="s">
        <v>134</v>
      </c>
      <c r="E114" s="101" t="s">
        <v>106</v>
      </c>
      <c r="F114" s="16" t="s">
        <v>12</v>
      </c>
      <c r="G114" s="26">
        <f aca="true" t="shared" si="31" ref="G114:L114">G115+G116+G117</f>
        <v>16983877.29</v>
      </c>
      <c r="H114" s="26">
        <f t="shared" si="31"/>
        <v>3915780</v>
      </c>
      <c r="I114" s="26">
        <f t="shared" si="31"/>
        <v>3809664.29</v>
      </c>
      <c r="J114" s="26">
        <f t="shared" si="31"/>
        <v>2987794</v>
      </c>
      <c r="K114" s="26">
        <f t="shared" si="31"/>
        <v>2838978</v>
      </c>
      <c r="L114" s="26">
        <f t="shared" si="31"/>
        <v>3431661</v>
      </c>
      <c r="M114" s="158"/>
    </row>
    <row r="115" spans="1:13" ht="21.75" customHeight="1">
      <c r="A115" s="117"/>
      <c r="B115" s="143"/>
      <c r="C115" s="102"/>
      <c r="D115" s="120"/>
      <c r="E115" s="102"/>
      <c r="F115" s="16" t="s">
        <v>13</v>
      </c>
      <c r="G115" s="26">
        <f>H115+I115+J115+K115+L115</f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158"/>
    </row>
    <row r="116" spans="1:13" ht="21.75" customHeight="1">
      <c r="A116" s="117"/>
      <c r="B116" s="143"/>
      <c r="C116" s="102"/>
      <c r="D116" s="120"/>
      <c r="E116" s="102"/>
      <c r="F116" s="16" t="s">
        <v>14</v>
      </c>
      <c r="G116" s="26">
        <f>H116+I116+J116+K116+L116</f>
        <v>16983877.29</v>
      </c>
      <c r="H116" s="26">
        <f>1513280+2402500</f>
        <v>3915780</v>
      </c>
      <c r="I116" s="26">
        <f>1178210+2631454.29</f>
        <v>3809664.29</v>
      </c>
      <c r="J116" s="26">
        <f>1154809+1980000-147015</f>
        <v>2987794</v>
      </c>
      <c r="K116" s="26">
        <f>1195000+1643978</f>
        <v>2838978</v>
      </c>
      <c r="L116" s="26">
        <f>1341133+2090528</f>
        <v>3431661</v>
      </c>
      <c r="M116" s="158"/>
    </row>
    <row r="117" spans="1:13" ht="21.75" customHeight="1">
      <c r="A117" s="118"/>
      <c r="B117" s="144"/>
      <c r="C117" s="102"/>
      <c r="D117" s="121"/>
      <c r="E117" s="106"/>
      <c r="F117" s="16" t="s">
        <v>15</v>
      </c>
      <c r="G117" s="26">
        <f>H117+I117+J117+K117+L117</f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158"/>
    </row>
    <row r="118" spans="1:13" ht="21.75" customHeight="1">
      <c r="A118" s="116" t="s">
        <v>160</v>
      </c>
      <c r="B118" s="142" t="s">
        <v>159</v>
      </c>
      <c r="C118" s="101" t="s">
        <v>125</v>
      </c>
      <c r="D118" s="103" t="s">
        <v>137</v>
      </c>
      <c r="E118" s="101" t="s">
        <v>106</v>
      </c>
      <c r="F118" s="16" t="s">
        <v>12</v>
      </c>
      <c r="G118" s="26">
        <f aca="true" t="shared" si="32" ref="G118:L118">G119+G120+G121</f>
        <v>61577420.74999999</v>
      </c>
      <c r="H118" s="26">
        <f t="shared" si="32"/>
        <v>4920882.5</v>
      </c>
      <c r="I118" s="26">
        <f t="shared" si="32"/>
        <v>13636058.44</v>
      </c>
      <c r="J118" s="26">
        <f t="shared" si="32"/>
        <v>14165280</v>
      </c>
      <c r="K118" s="26">
        <f t="shared" si="32"/>
        <v>14318300.28</v>
      </c>
      <c r="L118" s="26">
        <f t="shared" si="32"/>
        <v>14536899.53</v>
      </c>
      <c r="M118" s="158"/>
    </row>
    <row r="119" spans="1:13" ht="21.75" customHeight="1">
      <c r="A119" s="117"/>
      <c r="B119" s="143"/>
      <c r="C119" s="102"/>
      <c r="D119" s="104"/>
      <c r="E119" s="102"/>
      <c r="F119" s="16" t="s">
        <v>13</v>
      </c>
      <c r="G119" s="26">
        <f>H119+I119+J119+K119+L119</f>
        <v>13198509.979999999</v>
      </c>
      <c r="H119" s="26">
        <f>845990.48+96482.96-233.44+4193.5</f>
        <v>946433.5</v>
      </c>
      <c r="I119" s="26">
        <f>2724868.3-76260.5*3-76260.06</f>
        <v>2419826.7399999998</v>
      </c>
      <c r="J119" s="26">
        <v>3245713.93</v>
      </c>
      <c r="K119" s="26">
        <v>3265100.28</v>
      </c>
      <c r="L119" s="26">
        <v>3321435.53</v>
      </c>
      <c r="M119" s="158"/>
    </row>
    <row r="120" spans="1:13" ht="21.75" customHeight="1">
      <c r="A120" s="117"/>
      <c r="B120" s="143"/>
      <c r="C120" s="102"/>
      <c r="D120" s="104"/>
      <c r="E120" s="102"/>
      <c r="F120" s="16" t="s">
        <v>14</v>
      </c>
      <c r="G120" s="26">
        <f>H120+I120+J120+K120+L120</f>
        <v>48378910.769999996</v>
      </c>
      <c r="H120" s="26">
        <f>3768960+205489</f>
        <v>3974449</v>
      </c>
      <c r="I120" s="26">
        <v>11216231.7</v>
      </c>
      <c r="J120" s="26">
        <v>10919566.07</v>
      </c>
      <c r="K120" s="26">
        <v>11053200</v>
      </c>
      <c r="L120" s="26">
        <v>11215464</v>
      </c>
      <c r="M120" s="158"/>
    </row>
    <row r="121" spans="1:13" ht="21.75" customHeight="1">
      <c r="A121" s="118"/>
      <c r="B121" s="144"/>
      <c r="C121" s="102"/>
      <c r="D121" s="105"/>
      <c r="E121" s="106"/>
      <c r="F121" s="16" t="s">
        <v>15</v>
      </c>
      <c r="G121" s="26">
        <f>H121+I121+J121+K121+L121</f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159"/>
    </row>
    <row r="122" spans="1:13" ht="21.75" customHeight="1">
      <c r="A122" s="145" t="s">
        <v>47</v>
      </c>
      <c r="B122" s="148" t="s">
        <v>48</v>
      </c>
      <c r="C122" s="151" t="s">
        <v>125</v>
      </c>
      <c r="D122" s="154" t="s">
        <v>137</v>
      </c>
      <c r="E122" s="151" t="s">
        <v>106</v>
      </c>
      <c r="F122" s="42" t="s">
        <v>12</v>
      </c>
      <c r="G122" s="43">
        <f aca="true" t="shared" si="33" ref="G122:L122">G123+G124+G125</f>
        <v>151135934.1</v>
      </c>
      <c r="H122" s="43">
        <f>H123+H124+H125</f>
        <v>23814087.8</v>
      </c>
      <c r="I122" s="43">
        <f>I123+I124+I125</f>
        <v>44379680.78999999</v>
      </c>
      <c r="J122" s="43">
        <f>J123+J124+J125</f>
        <v>27400373.8</v>
      </c>
      <c r="K122" s="43">
        <f t="shared" si="33"/>
        <v>27573157.4</v>
      </c>
      <c r="L122" s="43">
        <f t="shared" si="33"/>
        <v>27968634.310000002</v>
      </c>
      <c r="M122" s="81"/>
    </row>
    <row r="123" spans="1:13" ht="21.75" customHeight="1">
      <c r="A123" s="146"/>
      <c r="B123" s="149"/>
      <c r="C123" s="152"/>
      <c r="D123" s="155"/>
      <c r="E123" s="152"/>
      <c r="F123" s="42" t="s">
        <v>13</v>
      </c>
      <c r="G123" s="43">
        <f>H123+I123+J123+K123+L123</f>
        <v>30404541.93</v>
      </c>
      <c r="H123" s="43">
        <f>H127+H139+H143+H147+H151+H155+H131+H135+H159+H163+H167</f>
        <v>2476339.29</v>
      </c>
      <c r="I123" s="43">
        <f>I127+I139+I143+I147+I151+I155+I131+I135+I159+I163+I167</f>
        <v>3759702.31</v>
      </c>
      <c r="J123" s="43">
        <f>J127+J139+J143+J147+J151+J155+J131+J135+J159+J163+J167</f>
        <v>7577445.21</v>
      </c>
      <c r="K123" s="43">
        <f>K127+K139+K143+K147+K151+K155+K131+K135+K159+K163+K167</f>
        <v>8284372.33</v>
      </c>
      <c r="L123" s="43">
        <f>L127+L139+L143+L147+L151+L155+L131+L135+L159+L163+L167</f>
        <v>8306682.79</v>
      </c>
      <c r="M123" s="82"/>
    </row>
    <row r="124" spans="1:13" ht="21.75" customHeight="1">
      <c r="A124" s="146"/>
      <c r="B124" s="149"/>
      <c r="C124" s="152"/>
      <c r="D124" s="155"/>
      <c r="E124" s="152"/>
      <c r="F124" s="42" t="s">
        <v>14</v>
      </c>
      <c r="G124" s="43">
        <f>H124+I124+J124+K124+L124</f>
        <v>27572893.71</v>
      </c>
      <c r="H124" s="43">
        <f aca="true" t="shared" si="34" ref="H124:J125">H128+H140+H144+H148+H152+H156+H132+H136+H160+H164+H168</f>
        <v>11497014.51</v>
      </c>
      <c r="I124" s="43">
        <f t="shared" si="34"/>
        <v>5421714.0200000005</v>
      </c>
      <c r="J124" s="43">
        <f t="shared" si="34"/>
        <v>3565228.59</v>
      </c>
      <c r="K124" s="43">
        <f>K128+K140+K144+K148+K152+K156+K132+K136+K160+K164+K168</f>
        <v>3520985.0700000003</v>
      </c>
      <c r="L124" s="43">
        <f>L128+L140+L144+L148+L152+L156+L132+L136+L160+L164+L168</f>
        <v>3567951.52</v>
      </c>
      <c r="M124" s="82"/>
    </row>
    <row r="125" spans="1:13" ht="21.75" customHeight="1">
      <c r="A125" s="147"/>
      <c r="B125" s="150"/>
      <c r="C125" s="153"/>
      <c r="D125" s="156"/>
      <c r="E125" s="153"/>
      <c r="F125" s="42" t="s">
        <v>15</v>
      </c>
      <c r="G125" s="43">
        <f>H125+I125+J125+K125+L125</f>
        <v>93158498.46</v>
      </c>
      <c r="H125" s="43">
        <f t="shared" si="34"/>
        <v>9840734</v>
      </c>
      <c r="I125" s="43">
        <f t="shared" si="34"/>
        <v>35198264.45999999</v>
      </c>
      <c r="J125" s="43">
        <f t="shared" si="34"/>
        <v>16257700</v>
      </c>
      <c r="K125" s="43">
        <f>K129+K141+K145+K149+K153+K157+K133+K137+K161+K165+K169</f>
        <v>15767800</v>
      </c>
      <c r="L125" s="43">
        <f>L129+L141+L145+L149+L153+L157+L133+L137+L161+L165+L169</f>
        <v>16094000</v>
      </c>
      <c r="M125" s="82"/>
    </row>
    <row r="126" spans="1:13" ht="21.75" customHeight="1">
      <c r="A126" s="116" t="s">
        <v>49</v>
      </c>
      <c r="B126" s="98" t="s">
        <v>50</v>
      </c>
      <c r="C126" s="101" t="s">
        <v>125</v>
      </c>
      <c r="D126" s="101"/>
      <c r="E126" s="101" t="s">
        <v>106</v>
      </c>
      <c r="F126" s="16" t="s">
        <v>12</v>
      </c>
      <c r="G126" s="26">
        <f aca="true" t="shared" si="35" ref="G126:L126">G127+G128+G129</f>
        <v>58058</v>
      </c>
      <c r="H126" s="26">
        <f t="shared" si="35"/>
        <v>58058</v>
      </c>
      <c r="I126" s="26">
        <f t="shared" si="35"/>
        <v>0</v>
      </c>
      <c r="J126" s="26">
        <f t="shared" si="35"/>
        <v>0</v>
      </c>
      <c r="K126" s="26">
        <f t="shared" si="35"/>
        <v>0</v>
      </c>
      <c r="L126" s="26">
        <f t="shared" si="35"/>
        <v>0</v>
      </c>
      <c r="M126" s="82" t="s">
        <v>144</v>
      </c>
    </row>
    <row r="127" spans="1:13" ht="21.75" customHeight="1">
      <c r="A127" s="117"/>
      <c r="B127" s="99"/>
      <c r="C127" s="102"/>
      <c r="D127" s="102"/>
      <c r="E127" s="102"/>
      <c r="F127" s="16" t="s">
        <v>13</v>
      </c>
      <c r="G127" s="26">
        <f>H127+I127+J127+K127+L127</f>
        <v>58058</v>
      </c>
      <c r="H127" s="26">
        <v>58058</v>
      </c>
      <c r="I127" s="26">
        <v>0</v>
      </c>
      <c r="J127" s="26">
        <v>0</v>
      </c>
      <c r="K127" s="26">
        <v>0</v>
      </c>
      <c r="L127" s="26">
        <v>0</v>
      </c>
      <c r="M127" s="82"/>
    </row>
    <row r="128" spans="1:13" ht="21.75" customHeight="1">
      <c r="A128" s="117"/>
      <c r="B128" s="99"/>
      <c r="C128" s="102"/>
      <c r="D128" s="102"/>
      <c r="E128" s="102"/>
      <c r="F128" s="16" t="s">
        <v>14</v>
      </c>
      <c r="G128" s="26">
        <f>H128+I128+J128+K128+L128</f>
        <v>0</v>
      </c>
      <c r="H128" s="26">
        <v>0</v>
      </c>
      <c r="I128" s="26">
        <v>0</v>
      </c>
      <c r="J128" s="26">
        <v>0</v>
      </c>
      <c r="K128" s="26"/>
      <c r="L128" s="26">
        <v>0</v>
      </c>
      <c r="M128" s="82"/>
    </row>
    <row r="129" spans="1:13" ht="21.75" customHeight="1">
      <c r="A129" s="118"/>
      <c r="B129" s="100"/>
      <c r="C129" s="102"/>
      <c r="D129" s="106"/>
      <c r="E129" s="106"/>
      <c r="F129" s="16" t="s">
        <v>15</v>
      </c>
      <c r="G129" s="26">
        <f>H129+I129+J129+K129+L129</f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82"/>
    </row>
    <row r="130" spans="1:13" ht="21.75" customHeight="1">
      <c r="A130" s="116" t="s">
        <v>51</v>
      </c>
      <c r="B130" s="98" t="s">
        <v>116</v>
      </c>
      <c r="C130" s="101" t="s">
        <v>125</v>
      </c>
      <c r="D130" s="119" t="s">
        <v>129</v>
      </c>
      <c r="E130" s="101" t="s">
        <v>106</v>
      </c>
      <c r="F130" s="16" t="s">
        <v>12</v>
      </c>
      <c r="G130" s="26">
        <f aca="true" t="shared" si="36" ref="G130:L130">G131+G132+G133</f>
        <v>14525521</v>
      </c>
      <c r="H130" s="26">
        <f t="shared" si="36"/>
        <v>12027171</v>
      </c>
      <c r="I130" s="26">
        <f t="shared" si="36"/>
        <v>2498350</v>
      </c>
      <c r="J130" s="26">
        <f t="shared" si="36"/>
        <v>0</v>
      </c>
      <c r="K130" s="26">
        <f t="shared" si="36"/>
        <v>0</v>
      </c>
      <c r="L130" s="26">
        <f t="shared" si="36"/>
        <v>0</v>
      </c>
      <c r="M130" s="82"/>
    </row>
    <row r="131" spans="1:13" ht="21.75" customHeight="1">
      <c r="A131" s="117"/>
      <c r="B131" s="99"/>
      <c r="C131" s="102"/>
      <c r="D131" s="120"/>
      <c r="E131" s="102"/>
      <c r="F131" s="16" t="s">
        <v>13</v>
      </c>
      <c r="G131" s="26">
        <f>H131+I131+J131+K131+L131</f>
        <v>977901</v>
      </c>
      <c r="H131" s="26">
        <v>900000</v>
      </c>
      <c r="I131" s="26">
        <v>77901</v>
      </c>
      <c r="J131" s="26">
        <v>0</v>
      </c>
      <c r="K131" s="26">
        <v>0</v>
      </c>
      <c r="L131" s="26">
        <v>0</v>
      </c>
      <c r="M131" s="82"/>
    </row>
    <row r="132" spans="1:13" ht="21.75" customHeight="1">
      <c r="A132" s="117"/>
      <c r="B132" s="99"/>
      <c r="C132" s="102"/>
      <c r="D132" s="120"/>
      <c r="E132" s="102"/>
      <c r="F132" s="16" t="s">
        <v>14</v>
      </c>
      <c r="G132" s="26">
        <f>H132+I132+J132+K132+L132</f>
        <v>9349858.94</v>
      </c>
      <c r="H132" s="26">
        <v>7685537</v>
      </c>
      <c r="I132" s="26">
        <f>464321.94+1200000</f>
        <v>1664321.94</v>
      </c>
      <c r="J132" s="26">
        <v>0</v>
      </c>
      <c r="K132" s="26">
        <v>0</v>
      </c>
      <c r="L132" s="26">
        <v>0</v>
      </c>
      <c r="M132" s="82"/>
    </row>
    <row r="133" spans="1:13" ht="21.75" customHeight="1">
      <c r="A133" s="118"/>
      <c r="B133" s="100"/>
      <c r="C133" s="102"/>
      <c r="D133" s="121"/>
      <c r="E133" s="106"/>
      <c r="F133" s="16" t="s">
        <v>15</v>
      </c>
      <c r="G133" s="26">
        <f>H133+I133+J133+K133+L133</f>
        <v>4197761.0600000005</v>
      </c>
      <c r="H133" s="26">
        <v>3441634</v>
      </c>
      <c r="I133" s="26">
        <v>756127.06</v>
      </c>
      <c r="J133" s="26">
        <v>0</v>
      </c>
      <c r="K133" s="26">
        <v>0</v>
      </c>
      <c r="L133" s="26">
        <v>0</v>
      </c>
      <c r="M133" s="82"/>
    </row>
    <row r="134" spans="1:25" s="35" customFormat="1" ht="21.75" customHeight="1">
      <c r="A134" s="116" t="s">
        <v>52</v>
      </c>
      <c r="B134" s="98" t="s">
        <v>169</v>
      </c>
      <c r="C134" s="101" t="s">
        <v>125</v>
      </c>
      <c r="D134" s="135" t="s">
        <v>170</v>
      </c>
      <c r="E134" s="101" t="s">
        <v>106</v>
      </c>
      <c r="F134" s="16" t="s">
        <v>12</v>
      </c>
      <c r="G134" s="26">
        <f aca="true" t="shared" si="37" ref="G134:L134">G135+G136+G137</f>
        <v>21151290</v>
      </c>
      <c r="H134" s="26">
        <f t="shared" si="37"/>
        <v>0</v>
      </c>
      <c r="I134" s="26">
        <f t="shared" si="37"/>
        <v>21151290</v>
      </c>
      <c r="J134" s="26">
        <f t="shared" si="37"/>
        <v>0</v>
      </c>
      <c r="K134" s="26">
        <f t="shared" si="37"/>
        <v>0</v>
      </c>
      <c r="L134" s="26">
        <f t="shared" si="37"/>
        <v>0</v>
      </c>
      <c r="M134" s="82"/>
      <c r="Y134" s="141"/>
    </row>
    <row r="135" spans="1:25" s="35" customFormat="1" ht="21.75" customHeight="1">
      <c r="A135" s="117"/>
      <c r="B135" s="99"/>
      <c r="C135" s="102"/>
      <c r="D135" s="136"/>
      <c r="E135" s="102"/>
      <c r="F135" s="16" t="s">
        <v>13</v>
      </c>
      <c r="G135" s="26">
        <f>H135+I135+J135+K135+L135</f>
        <v>851660</v>
      </c>
      <c r="H135" s="26">
        <v>0</v>
      </c>
      <c r="I135" s="26">
        <f>20320+351340+480000</f>
        <v>851660</v>
      </c>
      <c r="J135" s="26">
        <v>0</v>
      </c>
      <c r="K135" s="26">
        <v>0</v>
      </c>
      <c r="L135" s="26">
        <v>0</v>
      </c>
      <c r="M135" s="82"/>
      <c r="O135" s="36">
        <f>1759000+1400000+4507295+1195000</f>
        <v>8861295</v>
      </c>
      <c r="P135" s="36">
        <f>O135-N135</f>
        <v>8861295</v>
      </c>
      <c r="Y135" s="141"/>
    </row>
    <row r="136" spans="1:25" s="35" customFormat="1" ht="21.75" customHeight="1">
      <c r="A136" s="117"/>
      <c r="B136" s="99"/>
      <c r="C136" s="102"/>
      <c r="D136" s="136"/>
      <c r="E136" s="102"/>
      <c r="F136" s="16" t="s">
        <v>14</v>
      </c>
      <c r="G136" s="26">
        <f>H136+I136+J136+K136+L136</f>
        <v>405992.6</v>
      </c>
      <c r="H136" s="26">
        <v>0</v>
      </c>
      <c r="I136" s="26">
        <v>405992.6</v>
      </c>
      <c r="J136" s="26">
        <v>0</v>
      </c>
      <c r="K136" s="26">
        <v>0</v>
      </c>
      <c r="L136" s="26">
        <v>0</v>
      </c>
      <c r="M136" s="82"/>
      <c r="P136" s="36"/>
      <c r="Y136" s="141"/>
    </row>
    <row r="137" spans="1:25" s="35" customFormat="1" ht="21.75" customHeight="1">
      <c r="A137" s="118"/>
      <c r="B137" s="100"/>
      <c r="C137" s="106"/>
      <c r="D137" s="137"/>
      <c r="E137" s="106"/>
      <c r="F137" s="16" t="s">
        <v>15</v>
      </c>
      <c r="G137" s="26">
        <f>H137+I137+J137+K137+L137</f>
        <v>19893637.4</v>
      </c>
      <c r="H137" s="26">
        <v>0</v>
      </c>
      <c r="I137" s="26">
        <v>19893637.4</v>
      </c>
      <c r="J137" s="26">
        <v>0</v>
      </c>
      <c r="K137" s="26">
        <v>0</v>
      </c>
      <c r="L137" s="26">
        <v>0</v>
      </c>
      <c r="M137" s="82"/>
      <c r="N137" s="37"/>
      <c r="Y137" s="141"/>
    </row>
    <row r="138" spans="1:13" ht="21.75" customHeight="1">
      <c r="A138" s="116" t="s">
        <v>54</v>
      </c>
      <c r="B138" s="98" t="s">
        <v>166</v>
      </c>
      <c r="C138" s="101" t="s">
        <v>125</v>
      </c>
      <c r="D138" s="119" t="s">
        <v>129</v>
      </c>
      <c r="E138" s="101" t="s">
        <v>106</v>
      </c>
      <c r="F138" s="16" t="s">
        <v>12</v>
      </c>
      <c r="G138" s="26">
        <f aca="true" t="shared" si="38" ref="G138:L138">G139+G140+G141</f>
        <v>676415</v>
      </c>
      <c r="H138" s="26">
        <f t="shared" si="38"/>
        <v>0</v>
      </c>
      <c r="I138" s="26">
        <f t="shared" si="38"/>
        <v>676415</v>
      </c>
      <c r="J138" s="26">
        <f t="shared" si="38"/>
        <v>0</v>
      </c>
      <c r="K138" s="26">
        <f t="shared" si="38"/>
        <v>0</v>
      </c>
      <c r="L138" s="26">
        <f t="shared" si="38"/>
        <v>0</v>
      </c>
      <c r="M138" s="82"/>
    </row>
    <row r="139" spans="1:13" ht="21.75" customHeight="1">
      <c r="A139" s="117"/>
      <c r="B139" s="99"/>
      <c r="C139" s="102"/>
      <c r="D139" s="120"/>
      <c r="E139" s="102"/>
      <c r="F139" s="16" t="s">
        <v>13</v>
      </c>
      <c r="G139" s="26">
        <f>H139+I139+J139+K139+L139</f>
        <v>676415</v>
      </c>
      <c r="H139" s="26">
        <v>0</v>
      </c>
      <c r="I139" s="26">
        <v>676415</v>
      </c>
      <c r="J139" s="26">
        <v>0</v>
      </c>
      <c r="K139" s="26">
        <v>0</v>
      </c>
      <c r="L139" s="26">
        <v>0</v>
      </c>
      <c r="M139" s="82"/>
    </row>
    <row r="140" spans="1:13" ht="21.75" customHeight="1">
      <c r="A140" s="117"/>
      <c r="B140" s="99"/>
      <c r="C140" s="102"/>
      <c r="D140" s="120"/>
      <c r="E140" s="102"/>
      <c r="F140" s="16" t="s">
        <v>14</v>
      </c>
      <c r="G140" s="26">
        <f>H140+I140+J140+K140+L140</f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82"/>
    </row>
    <row r="141" spans="1:13" ht="21.75" customHeight="1">
      <c r="A141" s="118"/>
      <c r="B141" s="100"/>
      <c r="C141" s="102"/>
      <c r="D141" s="121"/>
      <c r="E141" s="106"/>
      <c r="F141" s="16" t="s">
        <v>15</v>
      </c>
      <c r="G141" s="26">
        <f>H141+I141+J141+K141+L141</f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122"/>
    </row>
    <row r="142" spans="1:13" ht="21.75" customHeight="1">
      <c r="A142" s="116" t="s">
        <v>84</v>
      </c>
      <c r="B142" s="98" t="s">
        <v>53</v>
      </c>
      <c r="C142" s="101" t="s">
        <v>125</v>
      </c>
      <c r="D142" s="119" t="s">
        <v>131</v>
      </c>
      <c r="E142" s="101" t="s">
        <v>106</v>
      </c>
      <c r="F142" s="16" t="s">
        <v>12</v>
      </c>
      <c r="G142" s="26">
        <f aca="true" t="shared" si="39" ref="G142:L142">G143+G144+G145</f>
        <v>3700622.2800000003</v>
      </c>
      <c r="H142" s="26">
        <f t="shared" si="39"/>
        <v>547300</v>
      </c>
      <c r="I142" s="26">
        <f t="shared" si="39"/>
        <v>708294.28</v>
      </c>
      <c r="J142" s="26">
        <f t="shared" si="39"/>
        <v>783340</v>
      </c>
      <c r="K142" s="26">
        <f t="shared" si="39"/>
        <v>814538</v>
      </c>
      <c r="L142" s="26">
        <f t="shared" si="39"/>
        <v>847150</v>
      </c>
      <c r="M142" s="81" t="s">
        <v>120</v>
      </c>
    </row>
    <row r="143" spans="1:13" ht="21.75" customHeight="1">
      <c r="A143" s="117"/>
      <c r="B143" s="99"/>
      <c r="C143" s="102"/>
      <c r="D143" s="120"/>
      <c r="E143" s="102"/>
      <c r="F143" s="16" t="s">
        <v>13</v>
      </c>
      <c r="G143" s="26">
        <f>H143+I143+J143+K143+L143</f>
        <v>2528402.2800000003</v>
      </c>
      <c r="H143" s="26">
        <v>408000</v>
      </c>
      <c r="I143" s="26">
        <f>433440+44154.28</f>
        <v>477594.28</v>
      </c>
      <c r="J143" s="26">
        <v>526320</v>
      </c>
      <c r="K143" s="26">
        <v>547288</v>
      </c>
      <c r="L143" s="26">
        <v>569200</v>
      </c>
      <c r="M143" s="82"/>
    </row>
    <row r="144" spans="1:13" ht="21.75" customHeight="1">
      <c r="A144" s="117"/>
      <c r="B144" s="99"/>
      <c r="C144" s="102"/>
      <c r="D144" s="120"/>
      <c r="E144" s="102"/>
      <c r="F144" s="16" t="s">
        <v>14</v>
      </c>
      <c r="G144" s="26">
        <f>H144+I144+J144+K144+L144</f>
        <v>1172220</v>
      </c>
      <c r="H144" s="26">
        <v>139300</v>
      </c>
      <c r="I144" s="26">
        <v>230700</v>
      </c>
      <c r="J144" s="26">
        <v>257020</v>
      </c>
      <c r="K144" s="26">
        <v>267250</v>
      </c>
      <c r="L144" s="26">
        <v>277950</v>
      </c>
      <c r="M144" s="82"/>
    </row>
    <row r="145" spans="1:13" ht="21.75" customHeight="1">
      <c r="A145" s="118"/>
      <c r="B145" s="100"/>
      <c r="C145" s="102"/>
      <c r="D145" s="121"/>
      <c r="E145" s="106"/>
      <c r="F145" s="16" t="s">
        <v>15</v>
      </c>
      <c r="G145" s="26">
        <f>H145+I145+J145+K145+L145</f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122"/>
    </row>
    <row r="146" spans="1:13" ht="21.75" customHeight="1">
      <c r="A146" s="116" t="s">
        <v>158</v>
      </c>
      <c r="B146" s="98" t="s">
        <v>88</v>
      </c>
      <c r="C146" s="101" t="s">
        <v>125</v>
      </c>
      <c r="D146" s="119" t="s">
        <v>139</v>
      </c>
      <c r="E146" s="101" t="s">
        <v>106</v>
      </c>
      <c r="F146" s="16" t="s">
        <v>12</v>
      </c>
      <c r="G146" s="26">
        <f aca="true" t="shared" si="40" ref="G146:L146">G147+G148+G149</f>
        <v>7318184.9</v>
      </c>
      <c r="H146" s="26">
        <f t="shared" si="40"/>
        <v>104312.9</v>
      </c>
      <c r="I146" s="26">
        <f t="shared" si="40"/>
        <v>1803468</v>
      </c>
      <c r="J146" s="26">
        <f t="shared" si="40"/>
        <v>1803468</v>
      </c>
      <c r="K146" s="26">
        <f t="shared" si="40"/>
        <v>1803468</v>
      </c>
      <c r="L146" s="26">
        <f t="shared" si="40"/>
        <v>1803468</v>
      </c>
      <c r="M146" s="81" t="s">
        <v>172</v>
      </c>
    </row>
    <row r="147" spans="1:14" ht="21.75" customHeight="1">
      <c r="A147" s="117"/>
      <c r="B147" s="99"/>
      <c r="C147" s="102"/>
      <c r="D147" s="120"/>
      <c r="E147" s="102"/>
      <c r="F147" s="16" t="s">
        <v>13</v>
      </c>
      <c r="G147" s="26">
        <f>H147+I147+J147+K147+L147</f>
        <v>3711248.9</v>
      </c>
      <c r="H147" s="26">
        <v>104312.9</v>
      </c>
      <c r="I147" s="26">
        <f>500000+401734</f>
        <v>901734</v>
      </c>
      <c r="J147" s="26">
        <v>901734</v>
      </c>
      <c r="K147" s="26">
        <v>901734</v>
      </c>
      <c r="L147" s="26">
        <v>901734</v>
      </c>
      <c r="M147" s="82"/>
      <c r="N147" s="13"/>
    </row>
    <row r="148" spans="1:13" ht="21.75" customHeight="1">
      <c r="A148" s="117"/>
      <c r="B148" s="99"/>
      <c r="C148" s="102"/>
      <c r="D148" s="120"/>
      <c r="E148" s="102"/>
      <c r="F148" s="16" t="s">
        <v>14</v>
      </c>
      <c r="G148" s="26">
        <f>H148+I148+J148+K148+L148</f>
        <v>3606936</v>
      </c>
      <c r="H148" s="26"/>
      <c r="I148" s="26">
        <v>901734</v>
      </c>
      <c r="J148" s="26">
        <v>901734</v>
      </c>
      <c r="K148" s="26">
        <v>901734</v>
      </c>
      <c r="L148" s="26">
        <v>901734</v>
      </c>
      <c r="M148" s="82"/>
    </row>
    <row r="149" spans="1:13" ht="21.75" customHeight="1">
      <c r="A149" s="118"/>
      <c r="B149" s="100"/>
      <c r="C149" s="102"/>
      <c r="D149" s="121"/>
      <c r="E149" s="106"/>
      <c r="F149" s="16" t="s">
        <v>15</v>
      </c>
      <c r="G149" s="26">
        <f>H149+I149+J149+K149+L149</f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122"/>
    </row>
    <row r="150" spans="1:13" ht="21.75" customHeight="1">
      <c r="A150" s="116" t="s">
        <v>164</v>
      </c>
      <c r="B150" s="98" t="s">
        <v>163</v>
      </c>
      <c r="C150" s="101" t="s">
        <v>125</v>
      </c>
      <c r="D150" s="119" t="s">
        <v>139</v>
      </c>
      <c r="E150" s="101" t="s">
        <v>106</v>
      </c>
      <c r="F150" s="16" t="s">
        <v>12</v>
      </c>
      <c r="G150" s="26">
        <f aca="true" t="shared" si="41" ref="G150:L150">G151+G152+G153</f>
        <v>6501327.970000001</v>
      </c>
      <c r="H150" s="26">
        <f t="shared" si="41"/>
        <v>2568957</v>
      </c>
      <c r="I150" s="26">
        <f t="shared" si="41"/>
        <v>1360722.97</v>
      </c>
      <c r="J150" s="26">
        <f t="shared" si="41"/>
        <v>857216</v>
      </c>
      <c r="K150" s="26">
        <f t="shared" si="41"/>
        <v>857216</v>
      </c>
      <c r="L150" s="26">
        <f t="shared" si="41"/>
        <v>857216</v>
      </c>
      <c r="M150" s="81" t="s">
        <v>165</v>
      </c>
    </row>
    <row r="151" spans="1:14" ht="21.75" customHeight="1">
      <c r="A151" s="117"/>
      <c r="B151" s="99"/>
      <c r="C151" s="102"/>
      <c r="D151" s="120"/>
      <c r="E151" s="102"/>
      <c r="F151" s="16" t="s">
        <v>13</v>
      </c>
      <c r="G151" s="26">
        <f>H151+I151+J151+K151+L151</f>
        <v>2300398.99</v>
      </c>
      <c r="H151" s="26">
        <v>770687.1</v>
      </c>
      <c r="I151" s="26">
        <f>670000-411783.11+500000</f>
        <v>758216.89</v>
      </c>
      <c r="J151" s="26">
        <v>257165</v>
      </c>
      <c r="K151" s="26">
        <v>257165</v>
      </c>
      <c r="L151" s="26">
        <v>257165</v>
      </c>
      <c r="M151" s="82"/>
      <c r="N151" s="13"/>
    </row>
    <row r="152" spans="1:13" ht="21.75" customHeight="1">
      <c r="A152" s="117"/>
      <c r="B152" s="99"/>
      <c r="C152" s="102"/>
      <c r="D152" s="120"/>
      <c r="E152" s="102"/>
      <c r="F152" s="16" t="s">
        <v>14</v>
      </c>
      <c r="G152" s="26">
        <f>H152+I152+J152+K152+L152</f>
        <v>4200928.98</v>
      </c>
      <c r="H152" s="26">
        <v>1798269.9</v>
      </c>
      <c r="I152" s="26">
        <v>602506.08</v>
      </c>
      <c r="J152" s="26">
        <v>600051</v>
      </c>
      <c r="K152" s="26">
        <v>600051</v>
      </c>
      <c r="L152" s="26">
        <v>600051</v>
      </c>
      <c r="M152" s="82"/>
    </row>
    <row r="153" spans="1:13" ht="21.75" customHeight="1">
      <c r="A153" s="118"/>
      <c r="B153" s="100"/>
      <c r="C153" s="102"/>
      <c r="D153" s="121"/>
      <c r="E153" s="106"/>
      <c r="F153" s="16" t="s">
        <v>15</v>
      </c>
      <c r="G153" s="26">
        <f>H153+I153+J153+K153+L153</f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122"/>
    </row>
    <row r="154" spans="1:13" ht="21.75" customHeight="1">
      <c r="A154" s="69"/>
      <c r="B154" s="98" t="s">
        <v>90</v>
      </c>
      <c r="C154" s="101" t="s">
        <v>125</v>
      </c>
      <c r="D154" s="135" t="s">
        <v>156</v>
      </c>
      <c r="E154" s="101" t="s">
        <v>106</v>
      </c>
      <c r="F154" s="16" t="s">
        <v>12</v>
      </c>
      <c r="G154" s="26">
        <f>G155+G156+G157</f>
        <v>227000</v>
      </c>
      <c r="H154" s="26">
        <v>0</v>
      </c>
      <c r="I154" s="26">
        <f>I155+I156+I157</f>
        <v>0</v>
      </c>
      <c r="J154" s="26">
        <f>J155+J156+J157</f>
        <v>0</v>
      </c>
      <c r="K154" s="26">
        <v>0</v>
      </c>
      <c r="L154" s="26">
        <f>L155+L156+L157</f>
        <v>0</v>
      </c>
      <c r="M154" s="81" t="s">
        <v>171</v>
      </c>
    </row>
    <row r="155" spans="1:13" ht="21.75" customHeight="1">
      <c r="A155" s="69" t="s">
        <v>167</v>
      </c>
      <c r="B155" s="99"/>
      <c r="C155" s="102"/>
      <c r="D155" s="136"/>
      <c r="E155" s="102"/>
      <c r="F155" s="16" t="s">
        <v>13</v>
      </c>
      <c r="G155" s="26">
        <f>H155+I155+J155+K155+L155</f>
        <v>227000</v>
      </c>
      <c r="H155" s="26">
        <v>227000</v>
      </c>
      <c r="I155" s="26">
        <v>0</v>
      </c>
      <c r="J155" s="26">
        <v>0</v>
      </c>
      <c r="K155" s="26">
        <v>0</v>
      </c>
      <c r="L155" s="26">
        <v>0</v>
      </c>
      <c r="M155" s="82"/>
    </row>
    <row r="156" spans="1:13" ht="21.75" customHeight="1">
      <c r="A156" s="69"/>
      <c r="B156" s="99"/>
      <c r="C156" s="102"/>
      <c r="D156" s="136"/>
      <c r="E156" s="102"/>
      <c r="F156" s="16" t="s">
        <v>14</v>
      </c>
      <c r="G156" s="26">
        <f>H156+I156+J156+K156+L156</f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82"/>
    </row>
    <row r="157" spans="1:13" ht="21.75" customHeight="1">
      <c r="A157" s="69"/>
      <c r="B157" s="100"/>
      <c r="C157" s="102"/>
      <c r="D157" s="137"/>
      <c r="E157" s="106"/>
      <c r="F157" s="16" t="s">
        <v>15</v>
      </c>
      <c r="G157" s="26">
        <f>H157+I157+J157+K157+L157</f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82"/>
    </row>
    <row r="158" spans="1:13" ht="21.75" customHeight="1">
      <c r="A158" s="116" t="s">
        <v>168</v>
      </c>
      <c r="B158" s="98" t="s">
        <v>157</v>
      </c>
      <c r="C158" s="101" t="s">
        <v>125</v>
      </c>
      <c r="D158" s="103" t="s">
        <v>135</v>
      </c>
      <c r="E158" s="101" t="s">
        <v>106</v>
      </c>
      <c r="F158" s="16" t="s">
        <v>12</v>
      </c>
      <c r="G158" s="26">
        <f aca="true" t="shared" si="42" ref="G158:L158">G159+G160+G161</f>
        <v>77982074.95</v>
      </c>
      <c r="H158" s="26">
        <f t="shared" si="42"/>
        <v>8281288.9</v>
      </c>
      <c r="I158" s="26">
        <f t="shared" si="42"/>
        <v>16181140.54</v>
      </c>
      <c r="J158" s="26">
        <f t="shared" si="42"/>
        <v>18082205.8</v>
      </c>
      <c r="K158" s="26">
        <f t="shared" si="42"/>
        <v>17537287.4</v>
      </c>
      <c r="L158" s="26">
        <f t="shared" si="42"/>
        <v>17900152.31</v>
      </c>
      <c r="M158" s="81" t="s">
        <v>161</v>
      </c>
    </row>
    <row r="159" spans="1:13" ht="21.75" customHeight="1">
      <c r="A159" s="117"/>
      <c r="B159" s="99"/>
      <c r="C159" s="102"/>
      <c r="D159" s="104"/>
      <c r="E159" s="102"/>
      <c r="F159" s="16" t="s">
        <v>13</v>
      </c>
      <c r="G159" s="26">
        <f>H159+I159+J159+K159+L159</f>
        <v>78017.76000000001</v>
      </c>
      <c r="H159" s="26">
        <v>8281.29</v>
      </c>
      <c r="I159" s="26">
        <v>16181.139999999996</v>
      </c>
      <c r="J159" s="26">
        <f>17660.82+421.39</f>
        <v>18082.21</v>
      </c>
      <c r="K159" s="26">
        <v>17537.33</v>
      </c>
      <c r="L159" s="26">
        <v>17935.79</v>
      </c>
      <c r="M159" s="82"/>
    </row>
    <row r="160" spans="1:13" ht="21.75" customHeight="1">
      <c r="A160" s="117"/>
      <c r="B160" s="99"/>
      <c r="C160" s="102"/>
      <c r="D160" s="104"/>
      <c r="E160" s="102"/>
      <c r="F160" s="16" t="s">
        <v>14</v>
      </c>
      <c r="G160" s="26">
        <f>H160+I160+J160+K160+L160</f>
        <v>8836957.190000001</v>
      </c>
      <c r="H160" s="26">
        <f>1873906.61+1</f>
        <v>1873907.61</v>
      </c>
      <c r="I160" s="26">
        <v>1616459.4000000001</v>
      </c>
      <c r="J160" s="26">
        <v>1806423.59</v>
      </c>
      <c r="K160" s="26">
        <v>1751950.07</v>
      </c>
      <c r="L160" s="26">
        <v>1788216.52</v>
      </c>
      <c r="M160" s="82"/>
    </row>
    <row r="161" spans="1:13" ht="21.75" customHeight="1">
      <c r="A161" s="118"/>
      <c r="B161" s="100"/>
      <c r="C161" s="102"/>
      <c r="D161" s="105"/>
      <c r="E161" s="106"/>
      <c r="F161" s="16" t="s">
        <v>15</v>
      </c>
      <c r="G161" s="26">
        <f>H161+I161+J161+K161+L161</f>
        <v>69067100</v>
      </c>
      <c r="H161" s="26">
        <v>6399100</v>
      </c>
      <c r="I161" s="26">
        <v>14548499.999999998</v>
      </c>
      <c r="J161" s="26">
        <v>16257700</v>
      </c>
      <c r="K161" s="26">
        <v>15767800</v>
      </c>
      <c r="L161" s="26">
        <v>16094000</v>
      </c>
      <c r="M161" s="122"/>
    </row>
    <row r="162" spans="1:13" ht="21.75" customHeight="1">
      <c r="A162" s="116" t="s">
        <v>178</v>
      </c>
      <c r="B162" s="98" t="s">
        <v>180</v>
      </c>
      <c r="C162" s="101" t="s">
        <v>125</v>
      </c>
      <c r="D162" s="103" t="s">
        <v>135</v>
      </c>
      <c r="E162" s="101" t="s">
        <v>106</v>
      </c>
      <c r="F162" s="16" t="s">
        <v>12</v>
      </c>
      <c r="G162" s="26">
        <f aca="true" t="shared" si="43" ref="G162:L162">G163+G164+G165</f>
        <v>12592973</v>
      </c>
      <c r="H162" s="26">
        <f t="shared" si="43"/>
        <v>0</v>
      </c>
      <c r="I162" s="26">
        <f t="shared" si="43"/>
        <v>0</v>
      </c>
      <c r="J162" s="26">
        <f t="shared" si="43"/>
        <v>4243923</v>
      </c>
      <c r="K162" s="26">
        <f t="shared" si="43"/>
        <v>4174525</v>
      </c>
      <c r="L162" s="26">
        <f t="shared" si="43"/>
        <v>4174525</v>
      </c>
      <c r="M162" s="81" t="s">
        <v>188</v>
      </c>
    </row>
    <row r="163" spans="1:13" ht="21.75" customHeight="1">
      <c r="A163" s="117"/>
      <c r="B163" s="99"/>
      <c r="C163" s="102"/>
      <c r="D163" s="104"/>
      <c r="E163" s="102"/>
      <c r="F163" s="16" t="s">
        <v>13</v>
      </c>
      <c r="G163" s="26">
        <f>H163+I163+J163+K163+L163</f>
        <v>12592973</v>
      </c>
      <c r="H163" s="26"/>
      <c r="I163" s="26"/>
      <c r="J163" s="26">
        <v>4243923</v>
      </c>
      <c r="K163" s="26">
        <v>4174525</v>
      </c>
      <c r="L163" s="26">
        <v>4174525</v>
      </c>
      <c r="M163" s="82"/>
    </row>
    <row r="164" spans="1:13" ht="21.75" customHeight="1">
      <c r="A164" s="117"/>
      <c r="B164" s="99"/>
      <c r="C164" s="102"/>
      <c r="D164" s="104"/>
      <c r="E164" s="102"/>
      <c r="F164" s="16" t="s">
        <v>14</v>
      </c>
      <c r="G164" s="26">
        <f>H164+I164+J164+K164+L164</f>
        <v>0</v>
      </c>
      <c r="H164" s="26"/>
      <c r="I164" s="26"/>
      <c r="J164" s="26">
        <v>0</v>
      </c>
      <c r="K164" s="26">
        <v>0</v>
      </c>
      <c r="L164" s="26">
        <v>0</v>
      </c>
      <c r="M164" s="82"/>
    </row>
    <row r="165" spans="1:13" ht="21.75" customHeight="1">
      <c r="A165" s="118"/>
      <c r="B165" s="100"/>
      <c r="C165" s="102"/>
      <c r="D165" s="105"/>
      <c r="E165" s="106"/>
      <c r="F165" s="16" t="s">
        <v>15</v>
      </c>
      <c r="G165" s="26">
        <f>H165+I165+J165+K165+L165</f>
        <v>0</v>
      </c>
      <c r="H165" s="26"/>
      <c r="I165" s="26"/>
      <c r="J165" s="26">
        <v>0</v>
      </c>
      <c r="K165" s="26">
        <v>0</v>
      </c>
      <c r="L165" s="26">
        <v>0</v>
      </c>
      <c r="M165" s="122"/>
    </row>
    <row r="166" spans="1:13" ht="21.75" customHeight="1">
      <c r="A166" s="116" t="s">
        <v>179</v>
      </c>
      <c r="B166" s="98" t="s">
        <v>181</v>
      </c>
      <c r="C166" s="101" t="s">
        <v>125</v>
      </c>
      <c r="D166" s="103" t="s">
        <v>135</v>
      </c>
      <c r="E166" s="101" t="s">
        <v>106</v>
      </c>
      <c r="F166" s="16" t="s">
        <v>12</v>
      </c>
      <c r="G166" s="26">
        <f aca="true" t="shared" si="44" ref="G166:L166">G167+G168+G169</f>
        <v>6402467</v>
      </c>
      <c r="H166" s="26">
        <f t="shared" si="44"/>
        <v>0</v>
      </c>
      <c r="I166" s="26">
        <f t="shared" si="44"/>
        <v>0</v>
      </c>
      <c r="J166" s="26">
        <f t="shared" si="44"/>
        <v>1630221</v>
      </c>
      <c r="K166" s="26">
        <f t="shared" si="44"/>
        <v>2386123</v>
      </c>
      <c r="L166" s="26">
        <f t="shared" si="44"/>
        <v>2386123</v>
      </c>
      <c r="M166" s="81" t="s">
        <v>184</v>
      </c>
    </row>
    <row r="167" spans="1:13" ht="21.75" customHeight="1">
      <c r="A167" s="117"/>
      <c r="B167" s="99"/>
      <c r="C167" s="102"/>
      <c r="D167" s="104"/>
      <c r="E167" s="102"/>
      <c r="F167" s="16" t="s">
        <v>13</v>
      </c>
      <c r="G167" s="26">
        <f>H167+I167+J167+K167+L167</f>
        <v>6402467</v>
      </c>
      <c r="H167" s="26"/>
      <c r="I167" s="26"/>
      <c r="J167" s="26">
        <v>1630221</v>
      </c>
      <c r="K167" s="26">
        <v>2386123</v>
      </c>
      <c r="L167" s="26">
        <v>2386123</v>
      </c>
      <c r="M167" s="82"/>
    </row>
    <row r="168" spans="1:13" ht="21.75" customHeight="1">
      <c r="A168" s="117"/>
      <c r="B168" s="99"/>
      <c r="C168" s="102"/>
      <c r="D168" s="104"/>
      <c r="E168" s="102"/>
      <c r="F168" s="16" t="s">
        <v>14</v>
      </c>
      <c r="G168" s="26">
        <f>H168+I168+J168+K168+L168</f>
        <v>0</v>
      </c>
      <c r="H168" s="26"/>
      <c r="I168" s="26"/>
      <c r="J168" s="26">
        <v>0</v>
      </c>
      <c r="K168" s="26">
        <v>0</v>
      </c>
      <c r="L168" s="26">
        <v>0</v>
      </c>
      <c r="M168" s="82"/>
    </row>
    <row r="169" spans="1:13" ht="21.75" customHeight="1">
      <c r="A169" s="118"/>
      <c r="B169" s="100"/>
      <c r="C169" s="102"/>
      <c r="D169" s="105"/>
      <c r="E169" s="106"/>
      <c r="F169" s="16" t="s">
        <v>15</v>
      </c>
      <c r="G169" s="26">
        <f>H169+I169+J169+K169+L169</f>
        <v>0</v>
      </c>
      <c r="H169" s="26"/>
      <c r="I169" s="26"/>
      <c r="J169" s="26">
        <v>0</v>
      </c>
      <c r="K169" s="26">
        <v>0</v>
      </c>
      <c r="L169" s="26">
        <v>0</v>
      </c>
      <c r="M169" s="122"/>
    </row>
    <row r="170" spans="1:13" ht="22.5" customHeight="1">
      <c r="A170" s="107" t="s">
        <v>55</v>
      </c>
      <c r="B170" s="110" t="s">
        <v>147</v>
      </c>
      <c r="C170" s="113" t="s">
        <v>125</v>
      </c>
      <c r="D170" s="134" t="s">
        <v>122</v>
      </c>
      <c r="E170" s="113" t="s">
        <v>106</v>
      </c>
      <c r="F170" s="39" t="s">
        <v>12</v>
      </c>
      <c r="G170" s="40">
        <f aca="true" t="shared" si="45" ref="G170:L170">G171+G172+G173</f>
        <v>270132496.82</v>
      </c>
      <c r="H170" s="40">
        <f>H171+H172+H173</f>
        <v>21453187.27</v>
      </c>
      <c r="I170" s="40">
        <f>I171+I172+I173</f>
        <v>27523645.13</v>
      </c>
      <c r="J170" s="40">
        <f>J171+J172+J173</f>
        <v>161173878.93</v>
      </c>
      <c r="K170" s="40">
        <f t="shared" si="45"/>
        <v>47955839.49</v>
      </c>
      <c r="L170" s="40">
        <f t="shared" si="45"/>
        <v>12025946</v>
      </c>
      <c r="M170" s="126"/>
    </row>
    <row r="171" spans="1:13" ht="22.5" customHeight="1">
      <c r="A171" s="108"/>
      <c r="B171" s="111"/>
      <c r="C171" s="114"/>
      <c r="D171" s="139"/>
      <c r="E171" s="114"/>
      <c r="F171" s="39" t="s">
        <v>13</v>
      </c>
      <c r="G171" s="40">
        <f>H171+I171+J171+K171+L171</f>
        <v>63038149.519999996</v>
      </c>
      <c r="H171" s="40">
        <f>H175+H183+H187+H191+H195+H203+H207+H199+H179</f>
        <v>9911340.129999999</v>
      </c>
      <c r="I171" s="40">
        <f>I175+I183+I187+I191+I195+I203+I207+I199+I179</f>
        <v>12393058.969999999</v>
      </c>
      <c r="J171" s="40">
        <f>J175+J183+J187+J191+J195+J203+J207+J199+J179</f>
        <v>18125192.259999998</v>
      </c>
      <c r="K171" s="40">
        <f>K175+K183+K187+K191+K195+K203+K207+K199+K179</f>
        <v>10582612.16</v>
      </c>
      <c r="L171" s="40">
        <f>L175+L183+L187+L191+L195+L203+L207+L199+L179</f>
        <v>12025946</v>
      </c>
      <c r="M171" s="127"/>
    </row>
    <row r="172" spans="1:13" ht="22.5" customHeight="1">
      <c r="A172" s="108"/>
      <c r="B172" s="111"/>
      <c r="C172" s="114"/>
      <c r="D172" s="139"/>
      <c r="E172" s="114"/>
      <c r="F172" s="39" t="s">
        <v>14</v>
      </c>
      <c r="G172" s="40">
        <f>H172+I172+J172+K172+L172</f>
        <v>63379029.3</v>
      </c>
      <c r="H172" s="40">
        <f aca="true" t="shared" si="46" ref="H172:L173">H176+H184+H188+H192+H196+H204+H208+H200+H180</f>
        <v>11541847.14</v>
      </c>
      <c r="I172" s="40">
        <f t="shared" si="46"/>
        <v>15130586.16</v>
      </c>
      <c r="J172" s="40">
        <f t="shared" si="46"/>
        <v>15654868.67</v>
      </c>
      <c r="K172" s="40">
        <f t="shared" si="46"/>
        <v>21051727.330000002</v>
      </c>
      <c r="L172" s="40">
        <f t="shared" si="46"/>
        <v>0</v>
      </c>
      <c r="M172" s="127"/>
    </row>
    <row r="173" spans="1:26" ht="22.5" customHeight="1">
      <c r="A173" s="109"/>
      <c r="B173" s="112"/>
      <c r="C173" s="115"/>
      <c r="D173" s="140"/>
      <c r="E173" s="115"/>
      <c r="F173" s="39" t="s">
        <v>15</v>
      </c>
      <c r="G173" s="40">
        <f>H173+I173+J173+K173+L173</f>
        <v>143715318</v>
      </c>
      <c r="H173" s="40">
        <f t="shared" si="46"/>
        <v>0</v>
      </c>
      <c r="I173" s="40">
        <f t="shared" si="46"/>
        <v>0</v>
      </c>
      <c r="J173" s="40">
        <f t="shared" si="46"/>
        <v>127393818</v>
      </c>
      <c r="K173" s="40">
        <f t="shared" si="46"/>
        <v>16321500</v>
      </c>
      <c r="L173" s="40">
        <f t="shared" si="46"/>
        <v>0</v>
      </c>
      <c r="M173" s="128"/>
      <c r="Y173" s="138" t="s">
        <v>87</v>
      </c>
      <c r="Z173" s="3"/>
    </row>
    <row r="174" spans="1:25" ht="21.75" customHeight="1">
      <c r="A174" s="116" t="s">
        <v>56</v>
      </c>
      <c r="B174" s="98" t="s">
        <v>77</v>
      </c>
      <c r="C174" s="101" t="s">
        <v>125</v>
      </c>
      <c r="D174" s="103" t="s">
        <v>138</v>
      </c>
      <c r="E174" s="101" t="s">
        <v>106</v>
      </c>
      <c r="F174" s="16" t="s">
        <v>12</v>
      </c>
      <c r="G174" s="26">
        <f aca="true" t="shared" si="47" ref="G174:L174">G175+G176+G177</f>
        <v>59499168.22</v>
      </c>
      <c r="H174" s="26">
        <f t="shared" si="47"/>
        <v>14048396.27</v>
      </c>
      <c r="I174" s="26">
        <f t="shared" si="47"/>
        <v>23290645.13</v>
      </c>
      <c r="J174" s="26">
        <f t="shared" si="47"/>
        <v>11000616.82</v>
      </c>
      <c r="K174" s="26">
        <f t="shared" si="47"/>
        <v>3851130</v>
      </c>
      <c r="L174" s="26">
        <f t="shared" si="47"/>
        <v>7308380</v>
      </c>
      <c r="M174" s="82" t="s">
        <v>151</v>
      </c>
      <c r="Y174" s="138"/>
    </row>
    <row r="175" spans="1:25" ht="21.75" customHeight="1">
      <c r="A175" s="117"/>
      <c r="B175" s="99"/>
      <c r="C175" s="102"/>
      <c r="D175" s="104"/>
      <c r="E175" s="102"/>
      <c r="F175" s="16" t="s">
        <v>13</v>
      </c>
      <c r="G175" s="26">
        <f>H175+I175+J175+K175+L175</f>
        <v>34797788.92</v>
      </c>
      <c r="H175" s="26">
        <f>4000000-H131-H111+334873.66+53210+571000.3+10000+159070+599000+565000-21070.83</f>
        <v>4977603.13</v>
      </c>
      <c r="I175" s="26">
        <f>7673601.18+600000+400000-13542.21+500000</f>
        <v>9160058.969999999</v>
      </c>
      <c r="J175" s="26">
        <f>525000+1263497+500000+1500000+500000+500000+1510000+600000+2083259.42+25778.4+308292+184790</f>
        <v>9500616.82</v>
      </c>
      <c r="K175" s="26">
        <f>975565+1375565+1000000+500000</f>
        <v>3851130</v>
      </c>
      <c r="L175" s="26">
        <f>1975565+2375565+1457250+1000000+500000</f>
        <v>7308380</v>
      </c>
      <c r="M175" s="82"/>
      <c r="O175" s="3">
        <f>1759000+1400000+4507295+1195000</f>
        <v>8861295</v>
      </c>
      <c r="P175" s="3">
        <f>O175-N175</f>
        <v>8861295</v>
      </c>
      <c r="Y175" s="138"/>
    </row>
    <row r="176" spans="1:25" ht="21.75" customHeight="1">
      <c r="A176" s="117"/>
      <c r="B176" s="99"/>
      <c r="C176" s="102"/>
      <c r="D176" s="104"/>
      <c r="E176" s="102"/>
      <c r="F176" s="16" t="s">
        <v>14</v>
      </c>
      <c r="G176" s="26">
        <f>H176+I176+J176+K176+L176</f>
        <v>24701379.3</v>
      </c>
      <c r="H176" s="26">
        <f>3714220.8+5356572.34</f>
        <v>9070793.14</v>
      </c>
      <c r="I176" s="26">
        <v>14130586.16</v>
      </c>
      <c r="J176" s="26">
        <v>1500000</v>
      </c>
      <c r="K176" s="26">
        <v>0</v>
      </c>
      <c r="L176" s="26">
        <v>0</v>
      </c>
      <c r="M176" s="82"/>
      <c r="P176" s="3"/>
      <c r="Y176" s="138"/>
    </row>
    <row r="177" spans="1:25" ht="21.75" customHeight="1">
      <c r="A177" s="118"/>
      <c r="B177" s="100"/>
      <c r="C177" s="102"/>
      <c r="D177" s="105"/>
      <c r="E177" s="106"/>
      <c r="F177" s="16" t="s">
        <v>15</v>
      </c>
      <c r="G177" s="26">
        <f>H177+I177+J177+K177+L177</f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82"/>
      <c r="N177" s="14"/>
      <c r="Y177" s="138"/>
    </row>
    <row r="178" spans="1:25" ht="21.75" customHeight="1">
      <c r="A178" s="116" t="s">
        <v>57</v>
      </c>
      <c r="B178" s="98" t="s">
        <v>194</v>
      </c>
      <c r="C178" s="101" t="s">
        <v>125</v>
      </c>
      <c r="D178" s="103" t="s">
        <v>138</v>
      </c>
      <c r="E178" s="101" t="s">
        <v>106</v>
      </c>
      <c r="F178" s="16" t="s">
        <v>12</v>
      </c>
      <c r="G178" s="26">
        <f aca="true" t="shared" si="48" ref="G178:L178">G179+G180+G181</f>
        <v>185742839.6</v>
      </c>
      <c r="H178" s="26">
        <f t="shared" si="48"/>
        <v>0</v>
      </c>
      <c r="I178" s="26">
        <f t="shared" si="48"/>
        <v>0</v>
      </c>
      <c r="J178" s="26">
        <f t="shared" si="48"/>
        <v>146655696.11</v>
      </c>
      <c r="K178" s="26">
        <f t="shared" si="48"/>
        <v>39087143.49</v>
      </c>
      <c r="L178" s="26">
        <f t="shared" si="48"/>
        <v>0</v>
      </c>
      <c r="M178" s="82"/>
      <c r="Y178" s="138"/>
    </row>
    <row r="179" spans="1:25" ht="21.75" customHeight="1">
      <c r="A179" s="117"/>
      <c r="B179" s="99"/>
      <c r="C179" s="102"/>
      <c r="D179" s="104"/>
      <c r="E179" s="102"/>
      <c r="F179" s="16" t="s">
        <v>13</v>
      </c>
      <c r="G179" s="26">
        <f>H179+I179+J179+K179+L179</f>
        <v>6820925.6</v>
      </c>
      <c r="H179" s="26">
        <v>0</v>
      </c>
      <c r="I179" s="26">
        <v>0</v>
      </c>
      <c r="J179" s="26">
        <f>718810.2+624075.24+3764124</f>
        <v>5107009.4399999995</v>
      </c>
      <c r="K179" s="26">
        <v>1713916.16</v>
      </c>
      <c r="L179" s="26">
        <v>0</v>
      </c>
      <c r="M179" s="82"/>
      <c r="O179" s="3">
        <f>1759000+1400000+4507295+1195000</f>
        <v>8861295</v>
      </c>
      <c r="P179" s="3">
        <f>O179-N179</f>
        <v>8861295</v>
      </c>
      <c r="Y179" s="138"/>
    </row>
    <row r="180" spans="1:25" ht="21.75" customHeight="1">
      <c r="A180" s="117"/>
      <c r="B180" s="99"/>
      <c r="C180" s="102"/>
      <c r="D180" s="104"/>
      <c r="E180" s="102"/>
      <c r="F180" s="16" t="s">
        <v>14</v>
      </c>
      <c r="G180" s="26">
        <f>H180+I180+J180+K180+L180</f>
        <v>35206596</v>
      </c>
      <c r="H180" s="26">
        <v>0</v>
      </c>
      <c r="I180" s="26">
        <v>0</v>
      </c>
      <c r="J180" s="26">
        <f>'[5]Лист1'!$I$6</f>
        <v>14154868.67</v>
      </c>
      <c r="K180" s="26">
        <f>'[5]Лист1'!$J$5+'[5]Лист1'!$J$10</f>
        <v>21051727.330000002</v>
      </c>
      <c r="L180" s="26">
        <v>0</v>
      </c>
      <c r="M180" s="82"/>
      <c r="P180" s="3"/>
      <c r="Y180" s="138"/>
    </row>
    <row r="181" spans="1:25" ht="21.75" customHeight="1">
      <c r="A181" s="118"/>
      <c r="B181" s="100"/>
      <c r="C181" s="102"/>
      <c r="D181" s="105"/>
      <c r="E181" s="106"/>
      <c r="F181" s="16" t="s">
        <v>15</v>
      </c>
      <c r="G181" s="26">
        <f>H181+I181+J181+K181+L181</f>
        <v>143715318</v>
      </c>
      <c r="H181" s="26">
        <v>0</v>
      </c>
      <c r="I181" s="26">
        <v>0</v>
      </c>
      <c r="J181" s="26">
        <f>'[5]Лист1'!$G$6</f>
        <v>127393818</v>
      </c>
      <c r="K181" s="26">
        <f>'[5]Лист1'!$H$5</f>
        <v>16321500</v>
      </c>
      <c r="L181" s="26">
        <v>0</v>
      </c>
      <c r="M181" s="82"/>
      <c r="N181" s="14"/>
      <c r="Y181" s="138"/>
    </row>
    <row r="182" spans="1:25" ht="21.75" customHeight="1">
      <c r="A182" s="116" t="s">
        <v>58</v>
      </c>
      <c r="B182" s="98" t="s">
        <v>59</v>
      </c>
      <c r="C182" s="101" t="s">
        <v>125</v>
      </c>
      <c r="D182" s="135" t="s">
        <v>130</v>
      </c>
      <c r="E182" s="101" t="s">
        <v>106</v>
      </c>
      <c r="F182" s="16" t="s">
        <v>12</v>
      </c>
      <c r="G182" s="26">
        <f aca="true" t="shared" si="49" ref="G182:L182">G183+G184+G185</f>
        <v>6525000</v>
      </c>
      <c r="H182" s="26">
        <f t="shared" si="49"/>
        <v>2525000</v>
      </c>
      <c r="I182" s="26">
        <f t="shared" si="49"/>
        <v>2000000</v>
      </c>
      <c r="J182" s="26">
        <f t="shared" si="49"/>
        <v>0</v>
      </c>
      <c r="K182" s="26">
        <f t="shared" si="49"/>
        <v>1000000</v>
      </c>
      <c r="L182" s="26">
        <f t="shared" si="49"/>
        <v>1000000</v>
      </c>
      <c r="M182" s="82"/>
      <c r="N182" s="3"/>
      <c r="V182" s="3" t="e">
        <f>#REF!+#REF!+#REF!+#REF!</f>
        <v>#REF!</v>
      </c>
      <c r="Y182" s="138"/>
    </row>
    <row r="183" spans="1:25" ht="21.75" customHeight="1">
      <c r="A183" s="117"/>
      <c r="B183" s="99"/>
      <c r="C183" s="102"/>
      <c r="D183" s="136"/>
      <c r="E183" s="102"/>
      <c r="F183" s="16" t="s">
        <v>13</v>
      </c>
      <c r="G183" s="26">
        <f>H183+I183+J183+K183+L183</f>
        <v>4052500</v>
      </c>
      <c r="H183" s="26">
        <f>1000000+47250+5250</f>
        <v>1052500</v>
      </c>
      <c r="I183" s="26">
        <v>1000000</v>
      </c>
      <c r="J183" s="26">
        <v>0</v>
      </c>
      <c r="K183" s="26">
        <v>1000000</v>
      </c>
      <c r="L183" s="26">
        <v>1000000</v>
      </c>
      <c r="M183" s="82"/>
      <c r="Y183" s="138"/>
    </row>
    <row r="184" spans="1:25" ht="21.75" customHeight="1">
      <c r="A184" s="117"/>
      <c r="B184" s="99"/>
      <c r="C184" s="102"/>
      <c r="D184" s="136"/>
      <c r="E184" s="102"/>
      <c r="F184" s="16" t="s">
        <v>14</v>
      </c>
      <c r="G184" s="26">
        <f>H184+I184+J184+K184+L184</f>
        <v>2472500</v>
      </c>
      <c r="H184" s="26">
        <f>1000000+472500</f>
        <v>1472500</v>
      </c>
      <c r="I184" s="26">
        <v>1000000</v>
      </c>
      <c r="J184" s="26">
        <v>0</v>
      </c>
      <c r="K184" s="26">
        <v>0</v>
      </c>
      <c r="L184" s="26">
        <v>0</v>
      </c>
      <c r="M184" s="82"/>
      <c r="Y184" s="138"/>
    </row>
    <row r="185" spans="1:25" ht="21.75" customHeight="1">
      <c r="A185" s="118"/>
      <c r="B185" s="100"/>
      <c r="C185" s="102"/>
      <c r="D185" s="137"/>
      <c r="E185" s="106"/>
      <c r="F185" s="16" t="s">
        <v>15</v>
      </c>
      <c r="G185" s="26">
        <f>H185+I185+J185+K185+L185</f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82"/>
      <c r="Y185" s="138"/>
    </row>
    <row r="186" spans="1:25" ht="21.75" customHeight="1">
      <c r="A186" s="116" t="s">
        <v>191</v>
      </c>
      <c r="B186" s="98" t="s">
        <v>110</v>
      </c>
      <c r="C186" s="101" t="s">
        <v>125</v>
      </c>
      <c r="D186" s="103" t="s">
        <v>122</v>
      </c>
      <c r="E186" s="101" t="s">
        <v>106</v>
      </c>
      <c r="F186" s="16" t="s">
        <v>12</v>
      </c>
      <c r="G186" s="26">
        <f aca="true" t="shared" si="50" ref="G186:L186">G187+G188+G189</f>
        <v>12723773</v>
      </c>
      <c r="H186" s="26">
        <f t="shared" si="50"/>
        <v>3038075</v>
      </c>
      <c r="I186" s="26">
        <f t="shared" si="50"/>
        <v>2233000</v>
      </c>
      <c r="J186" s="26">
        <f t="shared" si="50"/>
        <v>2417566</v>
      </c>
      <c r="K186" s="26">
        <f t="shared" si="50"/>
        <v>2317566</v>
      </c>
      <c r="L186" s="26">
        <f t="shared" si="50"/>
        <v>2717566</v>
      </c>
      <c r="M186" s="82"/>
      <c r="Y186" s="138"/>
    </row>
    <row r="187" spans="1:25" ht="21.75" customHeight="1">
      <c r="A187" s="117"/>
      <c r="B187" s="99"/>
      <c r="C187" s="102"/>
      <c r="D187" s="104"/>
      <c r="E187" s="102"/>
      <c r="F187" s="16" t="s">
        <v>13</v>
      </c>
      <c r="G187" s="26">
        <f aca="true" t="shared" si="51" ref="G187:G201">H187+I187+J187+K187+L187</f>
        <v>12585698</v>
      </c>
      <c r="H187" s="26">
        <f>3200000-300000-62034+62034</f>
        <v>2900000</v>
      </c>
      <c r="I187" s="26">
        <f>1933000+300000</f>
        <v>2233000</v>
      </c>
      <c r="J187" s="26">
        <f>1127003+1186637+103926</f>
        <v>2417566</v>
      </c>
      <c r="K187" s="26">
        <f>1027003+1186637+103926</f>
        <v>2317566</v>
      </c>
      <c r="L187" s="26">
        <f>1427003+1186637+103926</f>
        <v>2717566</v>
      </c>
      <c r="M187" s="82"/>
      <c r="Y187" s="138"/>
    </row>
    <row r="188" spans="1:25" ht="21.75" customHeight="1">
      <c r="A188" s="117"/>
      <c r="B188" s="99"/>
      <c r="C188" s="102"/>
      <c r="D188" s="104"/>
      <c r="E188" s="102"/>
      <c r="F188" s="16" t="s">
        <v>14</v>
      </c>
      <c r="G188" s="26">
        <f t="shared" si="51"/>
        <v>138075</v>
      </c>
      <c r="H188" s="26">
        <v>138075</v>
      </c>
      <c r="I188" s="26">
        <v>0</v>
      </c>
      <c r="J188" s="26">
        <v>0</v>
      </c>
      <c r="K188" s="26">
        <v>0</v>
      </c>
      <c r="L188" s="26">
        <v>0</v>
      </c>
      <c r="M188" s="82"/>
      <c r="O188" s="3"/>
      <c r="Y188" s="138"/>
    </row>
    <row r="189" spans="1:25" ht="21.75" customHeight="1">
      <c r="A189" s="118"/>
      <c r="B189" s="100"/>
      <c r="C189" s="102"/>
      <c r="D189" s="105"/>
      <c r="E189" s="106"/>
      <c r="F189" s="16" t="s">
        <v>15</v>
      </c>
      <c r="G189" s="26">
        <f t="shared" si="51"/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82"/>
      <c r="O189" s="3"/>
      <c r="Y189" s="138"/>
    </row>
    <row r="190" spans="1:13" ht="21.75" customHeight="1">
      <c r="A190" s="116" t="s">
        <v>60</v>
      </c>
      <c r="B190" s="98" t="s">
        <v>61</v>
      </c>
      <c r="C190" s="101" t="s">
        <v>125</v>
      </c>
      <c r="D190" s="119" t="s">
        <v>140</v>
      </c>
      <c r="E190" s="101" t="s">
        <v>106</v>
      </c>
      <c r="F190" s="16" t="s">
        <v>12</v>
      </c>
      <c r="G190" s="26">
        <f aca="true" t="shared" si="52" ref="G190:L190">G191+G192+G193</f>
        <v>4325000</v>
      </c>
      <c r="H190" s="26">
        <f t="shared" si="52"/>
        <v>525000</v>
      </c>
      <c r="I190" s="26">
        <f t="shared" si="52"/>
        <v>0</v>
      </c>
      <c r="J190" s="26">
        <f t="shared" si="52"/>
        <v>1100000</v>
      </c>
      <c r="K190" s="26">
        <f t="shared" si="52"/>
        <v>1700000</v>
      </c>
      <c r="L190" s="26">
        <f t="shared" si="52"/>
        <v>1000000</v>
      </c>
      <c r="M190" s="82"/>
    </row>
    <row r="191" spans="1:15" ht="21.75" customHeight="1">
      <c r="A191" s="117"/>
      <c r="B191" s="99"/>
      <c r="C191" s="102"/>
      <c r="D191" s="120"/>
      <c r="E191" s="102"/>
      <c r="F191" s="16" t="s">
        <v>13</v>
      </c>
      <c r="G191" s="26">
        <f t="shared" si="51"/>
        <v>4325000</v>
      </c>
      <c r="H191" s="26">
        <f>700000+300000-475000</f>
        <v>525000</v>
      </c>
      <c r="I191" s="26">
        <v>0</v>
      </c>
      <c r="J191" s="26">
        <f>500000+600000</f>
        <v>1100000</v>
      </c>
      <c r="K191" s="26">
        <f>700000+300000+700000</f>
        <v>1700000</v>
      </c>
      <c r="L191" s="26">
        <f>700000+300000</f>
        <v>1000000</v>
      </c>
      <c r="M191" s="82"/>
      <c r="O191" s="2">
        <v>854209197.4</v>
      </c>
    </row>
    <row r="192" spans="1:15" ht="21.75" customHeight="1">
      <c r="A192" s="117"/>
      <c r="B192" s="99"/>
      <c r="C192" s="102"/>
      <c r="D192" s="120"/>
      <c r="E192" s="102"/>
      <c r="F192" s="16" t="s">
        <v>14</v>
      </c>
      <c r="G192" s="26">
        <f t="shared" si="51"/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82"/>
      <c r="O192" s="2">
        <v>852492090</v>
      </c>
    </row>
    <row r="193" spans="1:15" ht="21.75" customHeight="1">
      <c r="A193" s="118"/>
      <c r="B193" s="100"/>
      <c r="C193" s="102"/>
      <c r="D193" s="121"/>
      <c r="E193" s="106"/>
      <c r="F193" s="16" t="s">
        <v>15</v>
      </c>
      <c r="G193" s="26">
        <f t="shared" si="51"/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82"/>
      <c r="O193" s="2">
        <f>O191-O192</f>
        <v>1717107.3999999762</v>
      </c>
    </row>
    <row r="194" spans="1:13" s="12" customFormat="1" ht="21.75" customHeight="1">
      <c r="A194" s="116" t="s">
        <v>192</v>
      </c>
      <c r="B194" s="98" t="s">
        <v>155</v>
      </c>
      <c r="C194" s="101" t="s">
        <v>125</v>
      </c>
      <c r="D194" s="131" t="s">
        <v>156</v>
      </c>
      <c r="E194" s="101" t="s">
        <v>106</v>
      </c>
      <c r="F194" s="16" t="s">
        <v>12</v>
      </c>
      <c r="G194" s="26">
        <f aca="true" t="shared" si="53" ref="G194:L194">G195+G196+G197</f>
        <v>1316716</v>
      </c>
      <c r="H194" s="26">
        <f t="shared" si="53"/>
        <v>1316716</v>
      </c>
      <c r="I194" s="26">
        <f t="shared" si="53"/>
        <v>0</v>
      </c>
      <c r="J194" s="26">
        <f t="shared" si="53"/>
        <v>0</v>
      </c>
      <c r="K194" s="26">
        <f t="shared" si="53"/>
        <v>0</v>
      </c>
      <c r="L194" s="26">
        <f t="shared" si="53"/>
        <v>0</v>
      </c>
      <c r="M194" s="82"/>
    </row>
    <row r="195" spans="1:13" s="12" customFormat="1" ht="21.75" customHeight="1">
      <c r="A195" s="117"/>
      <c r="B195" s="99"/>
      <c r="C195" s="102"/>
      <c r="D195" s="132"/>
      <c r="E195" s="102"/>
      <c r="F195" s="16" t="s">
        <v>13</v>
      </c>
      <c r="G195" s="26">
        <f>H195+I195+J195+K195+L195</f>
        <v>456237</v>
      </c>
      <c r="H195" s="26">
        <f>368777+87460</f>
        <v>456237</v>
      </c>
      <c r="I195" s="26">
        <v>0</v>
      </c>
      <c r="J195" s="26">
        <v>0</v>
      </c>
      <c r="K195" s="26">
        <v>0</v>
      </c>
      <c r="L195" s="26">
        <v>0</v>
      </c>
      <c r="M195" s="82"/>
    </row>
    <row r="196" spans="1:13" s="12" customFormat="1" ht="21.75" customHeight="1">
      <c r="A196" s="117"/>
      <c r="B196" s="99"/>
      <c r="C196" s="102"/>
      <c r="D196" s="132"/>
      <c r="E196" s="102"/>
      <c r="F196" s="16" t="s">
        <v>14</v>
      </c>
      <c r="G196" s="26">
        <f>H196+I196+J196+K196+L196</f>
        <v>860479</v>
      </c>
      <c r="H196" s="26">
        <v>860479</v>
      </c>
      <c r="I196" s="26">
        <v>0</v>
      </c>
      <c r="J196" s="26">
        <v>0</v>
      </c>
      <c r="K196" s="26">
        <v>0</v>
      </c>
      <c r="L196" s="26">
        <v>0</v>
      </c>
      <c r="M196" s="82"/>
    </row>
    <row r="197" spans="1:13" s="12" customFormat="1" ht="21.75" customHeight="1">
      <c r="A197" s="118"/>
      <c r="B197" s="100"/>
      <c r="C197" s="102"/>
      <c r="D197" s="133"/>
      <c r="E197" s="106"/>
      <c r="F197" s="16" t="s">
        <v>15</v>
      </c>
      <c r="G197" s="26">
        <f>H197+I197+J197+K197+L197</f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82"/>
    </row>
    <row r="198" spans="1:13" ht="21.75" customHeight="1" hidden="1" outlineLevel="1">
      <c r="A198" s="69"/>
      <c r="B198" s="98" t="s">
        <v>97</v>
      </c>
      <c r="C198" s="101" t="s">
        <v>125</v>
      </c>
      <c r="D198" s="101"/>
      <c r="E198" s="101" t="s">
        <v>106</v>
      </c>
      <c r="F198" s="16" t="s">
        <v>12</v>
      </c>
      <c r="G198" s="26">
        <f aca="true" t="shared" si="54" ref="G198:L198">G199+G200+G201</f>
        <v>0</v>
      </c>
      <c r="H198" s="26">
        <f t="shared" si="54"/>
        <v>0</v>
      </c>
      <c r="I198" s="26">
        <f t="shared" si="54"/>
        <v>0</v>
      </c>
      <c r="J198" s="26">
        <f t="shared" si="54"/>
        <v>0</v>
      </c>
      <c r="K198" s="26">
        <f t="shared" si="54"/>
        <v>0</v>
      </c>
      <c r="L198" s="26">
        <f t="shared" si="54"/>
        <v>0</v>
      </c>
      <c r="M198" s="82"/>
    </row>
    <row r="199" spans="1:13" ht="21.75" customHeight="1" hidden="1" outlineLevel="1">
      <c r="A199" s="71" t="s">
        <v>101</v>
      </c>
      <c r="B199" s="99"/>
      <c r="C199" s="102"/>
      <c r="D199" s="102"/>
      <c r="E199" s="102"/>
      <c r="F199" s="16" t="s">
        <v>13</v>
      </c>
      <c r="G199" s="26">
        <f t="shared" si="51"/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82"/>
    </row>
    <row r="200" spans="1:13" ht="21.75" customHeight="1" hidden="1" outlineLevel="1">
      <c r="A200" s="69"/>
      <c r="B200" s="99"/>
      <c r="C200" s="102"/>
      <c r="D200" s="102"/>
      <c r="E200" s="102"/>
      <c r="F200" s="16" t="s">
        <v>14</v>
      </c>
      <c r="G200" s="26">
        <f t="shared" si="51"/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82"/>
    </row>
    <row r="201" spans="1:13" ht="21.75" customHeight="1" hidden="1" outlineLevel="1">
      <c r="A201" s="69"/>
      <c r="B201" s="100"/>
      <c r="C201" s="102"/>
      <c r="D201" s="106"/>
      <c r="E201" s="106"/>
      <c r="F201" s="16" t="s">
        <v>15</v>
      </c>
      <c r="G201" s="26">
        <f t="shared" si="51"/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82"/>
    </row>
    <row r="202" spans="1:13" ht="21.75" customHeight="1" hidden="1" outlineLevel="1">
      <c r="A202" s="116" t="s">
        <v>154</v>
      </c>
      <c r="B202" s="98" t="s">
        <v>81</v>
      </c>
      <c r="C202" s="101" t="s">
        <v>125</v>
      </c>
      <c r="D202" s="101"/>
      <c r="E202" s="101" t="s">
        <v>106</v>
      </c>
      <c r="F202" s="16" t="s">
        <v>12</v>
      </c>
      <c r="G202" s="26">
        <f aca="true" t="shared" si="55" ref="G202:L202">G203+G204+G205</f>
        <v>0</v>
      </c>
      <c r="H202" s="26">
        <f t="shared" si="55"/>
        <v>0</v>
      </c>
      <c r="I202" s="26">
        <f t="shared" si="55"/>
        <v>0</v>
      </c>
      <c r="J202" s="26">
        <f t="shared" si="55"/>
        <v>0</v>
      </c>
      <c r="K202" s="26">
        <f t="shared" si="55"/>
        <v>0</v>
      </c>
      <c r="L202" s="26">
        <f t="shared" si="55"/>
        <v>0</v>
      </c>
      <c r="M202" s="82"/>
    </row>
    <row r="203" spans="1:13" ht="21.75" customHeight="1" hidden="1" outlineLevel="1">
      <c r="A203" s="117"/>
      <c r="B203" s="99"/>
      <c r="C203" s="102"/>
      <c r="D203" s="102"/>
      <c r="E203" s="102"/>
      <c r="F203" s="16" t="s">
        <v>13</v>
      </c>
      <c r="G203" s="26">
        <f>H203+I203+J203+K203+L203</f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82"/>
    </row>
    <row r="204" spans="1:13" ht="21.75" customHeight="1" hidden="1" outlineLevel="1">
      <c r="A204" s="117"/>
      <c r="B204" s="99"/>
      <c r="C204" s="102"/>
      <c r="D204" s="102"/>
      <c r="E204" s="102"/>
      <c r="F204" s="16" t="s">
        <v>14</v>
      </c>
      <c r="G204" s="26">
        <f>H204+I204+J204+K204+L204</f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82"/>
    </row>
    <row r="205" spans="1:13" ht="21.75" customHeight="1" hidden="1" outlineLevel="1">
      <c r="A205" s="118"/>
      <c r="B205" s="100"/>
      <c r="C205" s="102"/>
      <c r="D205" s="106"/>
      <c r="E205" s="106"/>
      <c r="F205" s="16" t="s">
        <v>15</v>
      </c>
      <c r="G205" s="26">
        <f>H205+I205+J205+K205+L205</f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82"/>
    </row>
    <row r="206" spans="1:25" ht="21.75" customHeight="1" hidden="1" outlineLevel="1">
      <c r="A206" s="69"/>
      <c r="B206" s="98" t="s">
        <v>98</v>
      </c>
      <c r="C206" s="101" t="s">
        <v>125</v>
      </c>
      <c r="D206" s="101"/>
      <c r="E206" s="101" t="s">
        <v>106</v>
      </c>
      <c r="F206" s="16" t="s">
        <v>12</v>
      </c>
      <c r="G206" s="26">
        <f aca="true" t="shared" si="56" ref="G206:L206">G207+G208+G209</f>
        <v>0</v>
      </c>
      <c r="H206" s="26">
        <f t="shared" si="56"/>
        <v>0</v>
      </c>
      <c r="I206" s="26">
        <f t="shared" si="56"/>
        <v>0</v>
      </c>
      <c r="J206" s="26">
        <f t="shared" si="56"/>
        <v>0</v>
      </c>
      <c r="K206" s="26">
        <f t="shared" si="56"/>
        <v>0</v>
      </c>
      <c r="L206" s="26">
        <f t="shared" si="56"/>
        <v>0</v>
      </c>
      <c r="M206" s="82"/>
      <c r="O206" s="3"/>
      <c r="Y206" s="15"/>
    </row>
    <row r="207" spans="1:25" ht="21.75" customHeight="1" hidden="1" outlineLevel="1">
      <c r="A207" s="69"/>
      <c r="B207" s="99"/>
      <c r="C207" s="102"/>
      <c r="D207" s="102"/>
      <c r="E207" s="102"/>
      <c r="F207" s="16" t="s">
        <v>13</v>
      </c>
      <c r="G207" s="26">
        <f>H207+I207+J207+K207+L207</f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82"/>
      <c r="O207" s="3"/>
      <c r="Y207" s="15"/>
    </row>
    <row r="208" spans="1:25" ht="21.75" customHeight="1" hidden="1" outlineLevel="1">
      <c r="A208" s="71" t="s">
        <v>193</v>
      </c>
      <c r="B208" s="99"/>
      <c r="C208" s="102"/>
      <c r="D208" s="102"/>
      <c r="E208" s="102"/>
      <c r="F208" s="16" t="s">
        <v>14</v>
      </c>
      <c r="G208" s="26">
        <f>H208+I208+J208+K208+L208</f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82"/>
      <c r="O208" s="3"/>
      <c r="Y208" s="15"/>
    </row>
    <row r="209" spans="1:25" ht="21.75" customHeight="1" hidden="1" outlineLevel="1">
      <c r="A209" s="69"/>
      <c r="B209" s="100"/>
      <c r="C209" s="102"/>
      <c r="D209" s="106"/>
      <c r="E209" s="106"/>
      <c r="F209" s="16" t="s">
        <v>15</v>
      </c>
      <c r="G209" s="26">
        <f>H209+I209+J209+K209+L209</f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82"/>
      <c r="O209" s="3"/>
      <c r="Y209" s="15"/>
    </row>
    <row r="210" spans="1:13" ht="21.75" customHeight="1" collapsed="1">
      <c r="A210" s="107" t="s">
        <v>62</v>
      </c>
      <c r="B210" s="110" t="s">
        <v>148</v>
      </c>
      <c r="C210" s="113" t="s">
        <v>125</v>
      </c>
      <c r="D210" s="134" t="s">
        <v>142</v>
      </c>
      <c r="E210" s="113" t="s">
        <v>106</v>
      </c>
      <c r="F210" s="39" t="s">
        <v>12</v>
      </c>
      <c r="G210" s="40">
        <f aca="true" t="shared" si="57" ref="G210:L210">G211+G212+G213</f>
        <v>24117512.549999997</v>
      </c>
      <c r="H210" s="40">
        <f t="shared" si="57"/>
        <v>1942784.25</v>
      </c>
      <c r="I210" s="40">
        <f t="shared" si="57"/>
        <v>4335490.64</v>
      </c>
      <c r="J210" s="40">
        <f t="shared" si="57"/>
        <v>8100412.56</v>
      </c>
      <c r="K210" s="40">
        <f t="shared" si="57"/>
        <v>4869412.54</v>
      </c>
      <c r="L210" s="40">
        <f t="shared" si="57"/>
        <v>4869412.56</v>
      </c>
      <c r="M210" s="126"/>
    </row>
    <row r="211" spans="1:13" ht="21.75" customHeight="1">
      <c r="A211" s="108"/>
      <c r="B211" s="111"/>
      <c r="C211" s="114"/>
      <c r="D211" s="114"/>
      <c r="E211" s="114"/>
      <c r="F211" s="39" t="s">
        <v>13</v>
      </c>
      <c r="G211" s="40">
        <f>H211+I211+J211+K211+L211</f>
        <v>6965314.18</v>
      </c>
      <c r="H211" s="40">
        <f aca="true" t="shared" si="58" ref="H211:I213">H215+H219+H223+H231+H227</f>
        <v>1742784.25</v>
      </c>
      <c r="I211" s="40">
        <f>I215+I219+I223+I231+I227</f>
        <v>722529.9299999999</v>
      </c>
      <c r="J211" s="40">
        <f aca="true" t="shared" si="59" ref="J211:L213">J215+J219+J223+J231+J227</f>
        <v>3500000</v>
      </c>
      <c r="K211" s="40">
        <f t="shared" si="59"/>
        <v>500000</v>
      </c>
      <c r="L211" s="40">
        <f t="shared" si="59"/>
        <v>500000</v>
      </c>
      <c r="M211" s="127"/>
    </row>
    <row r="212" spans="1:13" ht="21.75" customHeight="1">
      <c r="A212" s="108"/>
      <c r="B212" s="111"/>
      <c r="C212" s="114"/>
      <c r="D212" s="114"/>
      <c r="E212" s="114"/>
      <c r="F212" s="39" t="s">
        <v>14</v>
      </c>
      <c r="G212" s="40">
        <f>H212+I212+J212+K212+L212</f>
        <v>17152198.369999997</v>
      </c>
      <c r="H212" s="40">
        <f t="shared" si="58"/>
        <v>200000</v>
      </c>
      <c r="I212" s="40">
        <f t="shared" si="58"/>
        <v>3612960.71</v>
      </c>
      <c r="J212" s="40">
        <f t="shared" si="59"/>
        <v>4600412.56</v>
      </c>
      <c r="K212" s="40">
        <f t="shared" si="59"/>
        <v>4369412.54</v>
      </c>
      <c r="L212" s="40">
        <f t="shared" si="59"/>
        <v>4369412.56</v>
      </c>
      <c r="M212" s="127"/>
    </row>
    <row r="213" spans="1:13" ht="21.75" customHeight="1">
      <c r="A213" s="109"/>
      <c r="B213" s="112"/>
      <c r="C213" s="115"/>
      <c r="D213" s="115"/>
      <c r="E213" s="115"/>
      <c r="F213" s="39" t="s">
        <v>15</v>
      </c>
      <c r="G213" s="40">
        <f>H213+I213+J213+K213+L213</f>
        <v>0</v>
      </c>
      <c r="H213" s="40">
        <f t="shared" si="58"/>
        <v>0</v>
      </c>
      <c r="I213" s="40">
        <f t="shared" si="58"/>
        <v>0</v>
      </c>
      <c r="J213" s="40">
        <f t="shared" si="59"/>
        <v>0</v>
      </c>
      <c r="K213" s="40">
        <f t="shared" si="59"/>
        <v>0</v>
      </c>
      <c r="L213" s="40">
        <f t="shared" si="59"/>
        <v>0</v>
      </c>
      <c r="M213" s="128"/>
    </row>
    <row r="214" spans="1:13" ht="21.75" customHeight="1">
      <c r="A214" s="116" t="s">
        <v>63</v>
      </c>
      <c r="B214" s="98" t="s">
        <v>64</v>
      </c>
      <c r="C214" s="101" t="s">
        <v>125</v>
      </c>
      <c r="D214" s="103" t="s">
        <v>128</v>
      </c>
      <c r="E214" s="101" t="s">
        <v>106</v>
      </c>
      <c r="F214" s="16" t="s">
        <v>12</v>
      </c>
      <c r="G214" s="26">
        <f aca="true" t="shared" si="60" ref="G214:L214">G215+G216+G217</f>
        <v>4667221.3</v>
      </c>
      <c r="H214" s="26">
        <f t="shared" si="60"/>
        <v>1426776.79</v>
      </c>
      <c r="I214" s="26">
        <f t="shared" si="60"/>
        <v>0</v>
      </c>
      <c r="J214" s="26">
        <f t="shared" si="60"/>
        <v>3100068.51</v>
      </c>
      <c r="K214" s="26">
        <f t="shared" si="60"/>
        <v>70188</v>
      </c>
      <c r="L214" s="26">
        <f t="shared" si="60"/>
        <v>70188</v>
      </c>
      <c r="M214" s="129" t="s">
        <v>206</v>
      </c>
    </row>
    <row r="215" spans="1:13" ht="21.75" customHeight="1">
      <c r="A215" s="117"/>
      <c r="B215" s="99"/>
      <c r="C215" s="102"/>
      <c r="D215" s="104"/>
      <c r="E215" s="102"/>
      <c r="F215" s="16" t="s">
        <v>13</v>
      </c>
      <c r="G215" s="26">
        <f>H215+I215+J215+K215+L215</f>
        <v>4667221.3</v>
      </c>
      <c r="H215" s="26">
        <f>76776.79+1000000+350000</f>
        <v>1426776.79</v>
      </c>
      <c r="I215" s="26">
        <v>0</v>
      </c>
      <c r="J215" s="26">
        <f>70188+3000000+29880.51</f>
        <v>3100068.51</v>
      </c>
      <c r="K215" s="26">
        <v>70188</v>
      </c>
      <c r="L215" s="26">
        <v>70188</v>
      </c>
      <c r="M215" s="130"/>
    </row>
    <row r="216" spans="1:13" ht="21.75" customHeight="1">
      <c r="A216" s="117"/>
      <c r="B216" s="99"/>
      <c r="C216" s="102"/>
      <c r="D216" s="104"/>
      <c r="E216" s="102"/>
      <c r="F216" s="16" t="s">
        <v>14</v>
      </c>
      <c r="G216" s="26">
        <f>H216+I216+J216+K216+L216</f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130"/>
    </row>
    <row r="217" spans="1:13" ht="21.75" customHeight="1">
      <c r="A217" s="118"/>
      <c r="B217" s="100"/>
      <c r="C217" s="102"/>
      <c r="D217" s="105"/>
      <c r="E217" s="106"/>
      <c r="F217" s="16" t="s">
        <v>15</v>
      </c>
      <c r="G217" s="26">
        <f>H217+I217+J217+K217+L217</f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130"/>
    </row>
    <row r="218" spans="1:13" ht="21.75" customHeight="1">
      <c r="A218" s="116" t="s">
        <v>65</v>
      </c>
      <c r="B218" s="98" t="s">
        <v>66</v>
      </c>
      <c r="C218" s="101" t="s">
        <v>125</v>
      </c>
      <c r="D218" s="103" t="s">
        <v>142</v>
      </c>
      <c r="E218" s="101" t="s">
        <v>106</v>
      </c>
      <c r="F218" s="16" t="s">
        <v>12</v>
      </c>
      <c r="G218" s="26">
        <f aca="true" t="shared" si="61" ref="G218:L218">G219+G220+G221</f>
        <v>1341837.88</v>
      </c>
      <c r="H218" s="26">
        <f t="shared" si="61"/>
        <v>199970.46</v>
      </c>
      <c r="I218" s="26">
        <f t="shared" si="61"/>
        <v>422529.93</v>
      </c>
      <c r="J218" s="26">
        <f t="shared" si="61"/>
        <v>289931.49</v>
      </c>
      <c r="K218" s="26">
        <f t="shared" si="61"/>
        <v>214703</v>
      </c>
      <c r="L218" s="26">
        <f t="shared" si="61"/>
        <v>214703</v>
      </c>
      <c r="M218" s="130"/>
    </row>
    <row r="219" spans="1:13" ht="21.75" customHeight="1">
      <c r="A219" s="117"/>
      <c r="B219" s="99"/>
      <c r="C219" s="102"/>
      <c r="D219" s="104"/>
      <c r="E219" s="102"/>
      <c r="F219" s="16" t="s">
        <v>13</v>
      </c>
      <c r="G219" s="26">
        <f>H219+I219+J219+K219+L219</f>
        <v>1341837.88</v>
      </c>
      <c r="H219" s="26">
        <f>190170.46+9800</f>
        <v>199970.46</v>
      </c>
      <c r="I219" s="26">
        <v>422529.93</v>
      </c>
      <c r="J219" s="26">
        <v>289931.49</v>
      </c>
      <c r="K219" s="26">
        <v>214703</v>
      </c>
      <c r="L219" s="26">
        <v>214703</v>
      </c>
      <c r="M219" s="130"/>
    </row>
    <row r="220" spans="1:13" ht="21.75" customHeight="1">
      <c r="A220" s="117"/>
      <c r="B220" s="99"/>
      <c r="C220" s="102"/>
      <c r="D220" s="104"/>
      <c r="E220" s="102"/>
      <c r="F220" s="16" t="s">
        <v>14</v>
      </c>
      <c r="G220" s="26">
        <f>H220+I220+J220+K220+L220</f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130"/>
    </row>
    <row r="221" spans="1:13" ht="21.75" customHeight="1">
      <c r="A221" s="118"/>
      <c r="B221" s="100"/>
      <c r="C221" s="102"/>
      <c r="D221" s="105"/>
      <c r="E221" s="106"/>
      <c r="F221" s="16" t="s">
        <v>15</v>
      </c>
      <c r="G221" s="26">
        <f>H221+I221+J221+K221+L221</f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130"/>
    </row>
    <row r="222" spans="1:13" ht="21.75" customHeight="1">
      <c r="A222" s="116" t="s">
        <v>67</v>
      </c>
      <c r="B222" s="98" t="s">
        <v>109</v>
      </c>
      <c r="C222" s="101" t="s">
        <v>125</v>
      </c>
      <c r="D222" s="101"/>
      <c r="E222" s="101" t="s">
        <v>106</v>
      </c>
      <c r="F222" s="16" t="s">
        <v>12</v>
      </c>
      <c r="G222" s="26">
        <f aca="true" t="shared" si="62" ref="G222:L222">G223+G224+G225</f>
        <v>0</v>
      </c>
      <c r="H222" s="26">
        <f t="shared" si="62"/>
        <v>0</v>
      </c>
      <c r="I222" s="26">
        <f t="shared" si="62"/>
        <v>0</v>
      </c>
      <c r="J222" s="26">
        <f t="shared" si="62"/>
        <v>0</v>
      </c>
      <c r="K222" s="26">
        <f t="shared" si="62"/>
        <v>0</v>
      </c>
      <c r="L222" s="26">
        <f t="shared" si="62"/>
        <v>0</v>
      </c>
      <c r="M222" s="130"/>
    </row>
    <row r="223" spans="1:13" ht="21.75" customHeight="1">
      <c r="A223" s="117"/>
      <c r="B223" s="99"/>
      <c r="C223" s="102"/>
      <c r="D223" s="102"/>
      <c r="E223" s="102"/>
      <c r="F223" s="16" t="s">
        <v>13</v>
      </c>
      <c r="G223" s="26">
        <f>H223+I223+J223+K223+L223</f>
        <v>0</v>
      </c>
      <c r="H223" s="26">
        <v>0</v>
      </c>
      <c r="I223" s="26">
        <v>0</v>
      </c>
      <c r="J223" s="26">
        <v>0</v>
      </c>
      <c r="K223" s="26"/>
      <c r="L223" s="26">
        <v>0</v>
      </c>
      <c r="M223" s="130"/>
    </row>
    <row r="224" spans="1:13" ht="21.75" customHeight="1">
      <c r="A224" s="117"/>
      <c r="B224" s="99"/>
      <c r="C224" s="102"/>
      <c r="D224" s="102"/>
      <c r="E224" s="102"/>
      <c r="F224" s="16" t="s">
        <v>14</v>
      </c>
      <c r="G224" s="26">
        <f>H224+I224+J224+K224+L224</f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130"/>
    </row>
    <row r="225" spans="1:13" ht="21.75" customHeight="1">
      <c r="A225" s="118"/>
      <c r="B225" s="100"/>
      <c r="C225" s="102"/>
      <c r="D225" s="106"/>
      <c r="E225" s="106"/>
      <c r="F225" s="16" t="s">
        <v>15</v>
      </c>
      <c r="G225" s="26">
        <f>H225+I225+J225+K225+L225</f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130"/>
    </row>
    <row r="226" spans="1:13" ht="21.75" customHeight="1">
      <c r="A226" s="69"/>
      <c r="B226" s="98" t="s">
        <v>104</v>
      </c>
      <c r="C226" s="101" t="s">
        <v>125</v>
      </c>
      <c r="D226" s="103" t="s">
        <v>127</v>
      </c>
      <c r="E226" s="101" t="s">
        <v>106</v>
      </c>
      <c r="F226" s="16" t="s">
        <v>12</v>
      </c>
      <c r="G226" s="26">
        <f aca="true" t="shared" si="63" ref="G226:L226">G227+G228+G229</f>
        <v>1477255</v>
      </c>
      <c r="H226" s="26">
        <f t="shared" si="63"/>
        <v>316037</v>
      </c>
      <c r="I226" s="26">
        <f t="shared" si="63"/>
        <v>390000</v>
      </c>
      <c r="J226" s="26">
        <f t="shared" si="63"/>
        <v>341000</v>
      </c>
      <c r="K226" s="26">
        <f t="shared" si="63"/>
        <v>215109</v>
      </c>
      <c r="L226" s="26">
        <f t="shared" si="63"/>
        <v>215109</v>
      </c>
      <c r="M226" s="130"/>
    </row>
    <row r="227" spans="1:13" ht="21.75" customHeight="1">
      <c r="A227" s="71" t="s">
        <v>102</v>
      </c>
      <c r="B227" s="99"/>
      <c r="C227" s="102"/>
      <c r="D227" s="104"/>
      <c r="E227" s="102"/>
      <c r="F227" s="16" t="s">
        <v>13</v>
      </c>
      <c r="G227" s="26">
        <f>H227+I227+J227+K227+L227</f>
        <v>756255</v>
      </c>
      <c r="H227" s="26">
        <v>116037</v>
      </c>
      <c r="I227" s="26">
        <f>157703.92-57703.92</f>
        <v>100000.00000000001</v>
      </c>
      <c r="J227" s="26">
        <v>110000</v>
      </c>
      <c r="K227" s="26">
        <v>215109</v>
      </c>
      <c r="L227" s="26">
        <v>215109</v>
      </c>
      <c r="M227" s="130"/>
    </row>
    <row r="228" spans="1:13" ht="21.75" customHeight="1">
      <c r="A228" s="69"/>
      <c r="B228" s="99"/>
      <c r="C228" s="102"/>
      <c r="D228" s="104"/>
      <c r="E228" s="102"/>
      <c r="F228" s="16" t="s">
        <v>14</v>
      </c>
      <c r="G228" s="26">
        <f>H228+I228+J228+K228+L228</f>
        <v>721000</v>
      </c>
      <c r="H228" s="26">
        <v>200000</v>
      </c>
      <c r="I228" s="26">
        <v>290000</v>
      </c>
      <c r="J228" s="26">
        <v>231000</v>
      </c>
      <c r="K228" s="26">
        <v>0</v>
      </c>
      <c r="L228" s="26">
        <v>0</v>
      </c>
      <c r="M228" s="130"/>
    </row>
    <row r="229" spans="1:13" ht="21.75" customHeight="1">
      <c r="A229" s="69"/>
      <c r="B229" s="100"/>
      <c r="C229" s="102"/>
      <c r="D229" s="105"/>
      <c r="E229" s="106"/>
      <c r="F229" s="16" t="s">
        <v>15</v>
      </c>
      <c r="G229" s="26">
        <f>H229+I229+J229+K229+L229</f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130"/>
    </row>
    <row r="230" spans="1:13" ht="21.75" customHeight="1">
      <c r="A230" s="116" t="s">
        <v>103</v>
      </c>
      <c r="B230" s="98" t="s">
        <v>78</v>
      </c>
      <c r="C230" s="101" t="s">
        <v>125</v>
      </c>
      <c r="D230" s="103" t="s">
        <v>141</v>
      </c>
      <c r="E230" s="101" t="s">
        <v>106</v>
      </c>
      <c r="F230" s="16" t="s">
        <v>12</v>
      </c>
      <c r="G230" s="26">
        <f aca="true" t="shared" si="64" ref="G230:L230">G231+G232+G233</f>
        <v>16631198.369999997</v>
      </c>
      <c r="H230" s="26">
        <f t="shared" si="64"/>
        <v>0</v>
      </c>
      <c r="I230" s="26">
        <f t="shared" si="64"/>
        <v>3522960.71</v>
      </c>
      <c r="J230" s="26">
        <f t="shared" si="64"/>
        <v>4369412.56</v>
      </c>
      <c r="K230" s="26">
        <f t="shared" si="64"/>
        <v>4369412.54</v>
      </c>
      <c r="L230" s="26">
        <f t="shared" si="64"/>
        <v>4369412.56</v>
      </c>
      <c r="M230" s="130"/>
    </row>
    <row r="231" spans="1:13" ht="21.75" customHeight="1">
      <c r="A231" s="117"/>
      <c r="B231" s="99"/>
      <c r="C231" s="102"/>
      <c r="D231" s="104"/>
      <c r="E231" s="102"/>
      <c r="F231" s="16" t="s">
        <v>13</v>
      </c>
      <c r="G231" s="26">
        <f>H231+I231+J231+K231+L231</f>
        <v>200000</v>
      </c>
      <c r="H231" s="26">
        <v>0</v>
      </c>
      <c r="I231" s="26">
        <f>200000+572400-572400</f>
        <v>200000</v>
      </c>
      <c r="J231" s="26">
        <v>0</v>
      </c>
      <c r="K231" s="26">
        <v>0</v>
      </c>
      <c r="L231" s="26">
        <v>0</v>
      </c>
      <c r="M231" s="130"/>
    </row>
    <row r="232" spans="1:13" ht="21.75" customHeight="1">
      <c r="A232" s="117"/>
      <c r="B232" s="99"/>
      <c r="C232" s="102"/>
      <c r="D232" s="104"/>
      <c r="E232" s="102"/>
      <c r="F232" s="16" t="s">
        <v>14</v>
      </c>
      <c r="G232" s="26">
        <f>H232+I232+J232+K232+L232</f>
        <v>16431198.369999997</v>
      </c>
      <c r="H232" s="26">
        <v>0</v>
      </c>
      <c r="I232" s="26">
        <f>4922960.71-1600000</f>
        <v>3322960.71</v>
      </c>
      <c r="J232" s="26">
        <v>4369412.56</v>
      </c>
      <c r="K232" s="26">
        <v>4369412.54</v>
      </c>
      <c r="L232" s="26">
        <v>4369412.56</v>
      </c>
      <c r="M232" s="130"/>
    </row>
    <row r="233" spans="1:13" ht="21.75" customHeight="1">
      <c r="A233" s="118"/>
      <c r="B233" s="100"/>
      <c r="C233" s="102"/>
      <c r="D233" s="105"/>
      <c r="E233" s="106"/>
      <c r="F233" s="16" t="s">
        <v>15</v>
      </c>
      <c r="G233" s="26">
        <f>H233+I233+J233+K233+L233</f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130"/>
    </row>
    <row r="234" spans="1:13" ht="21.75" customHeight="1">
      <c r="A234" s="107" t="s">
        <v>68</v>
      </c>
      <c r="B234" s="110" t="s">
        <v>149</v>
      </c>
      <c r="C234" s="113" t="s">
        <v>125</v>
      </c>
      <c r="D234" s="123" t="s">
        <v>126</v>
      </c>
      <c r="E234" s="113" t="s">
        <v>106</v>
      </c>
      <c r="F234" s="39" t="s">
        <v>12</v>
      </c>
      <c r="G234" s="40">
        <f aca="true" t="shared" si="65" ref="G234:L234">G235+G236+G237</f>
        <v>2827578.61</v>
      </c>
      <c r="H234" s="40">
        <f t="shared" si="65"/>
        <v>600000</v>
      </c>
      <c r="I234" s="40">
        <f t="shared" si="65"/>
        <v>557000</v>
      </c>
      <c r="J234" s="40">
        <f t="shared" si="65"/>
        <v>556578.61</v>
      </c>
      <c r="K234" s="40">
        <f t="shared" si="65"/>
        <v>557000</v>
      </c>
      <c r="L234" s="40">
        <f t="shared" si="65"/>
        <v>557000</v>
      </c>
      <c r="M234" s="126"/>
    </row>
    <row r="235" spans="1:13" ht="21.75" customHeight="1">
      <c r="A235" s="108"/>
      <c r="B235" s="111"/>
      <c r="C235" s="114"/>
      <c r="D235" s="124"/>
      <c r="E235" s="114"/>
      <c r="F235" s="39" t="s">
        <v>13</v>
      </c>
      <c r="G235" s="40">
        <f>H235+I235+J235+K235+L235</f>
        <v>2827578.61</v>
      </c>
      <c r="H235" s="40">
        <f>H239+H251+H259+H263+H243+H247+H255</f>
        <v>600000</v>
      </c>
      <c r="I235" s="40">
        <f>I239+I251+I259+I263+I243+I247+I255</f>
        <v>557000</v>
      </c>
      <c r="J235" s="40">
        <f>J239+J251+J259+J263+J243+J247+J255</f>
        <v>556578.61</v>
      </c>
      <c r="K235" s="40">
        <f>K239+K251+K259+K263+K243+K247+K255</f>
        <v>557000</v>
      </c>
      <c r="L235" s="40">
        <f>L239+L251+L259+L263+L243+L247+L255</f>
        <v>557000</v>
      </c>
      <c r="M235" s="127"/>
    </row>
    <row r="236" spans="1:13" ht="21.75" customHeight="1">
      <c r="A236" s="108"/>
      <c r="B236" s="111"/>
      <c r="C236" s="114"/>
      <c r="D236" s="124"/>
      <c r="E236" s="114"/>
      <c r="F236" s="39" t="s">
        <v>14</v>
      </c>
      <c r="G236" s="40">
        <f>H236+I236+J236+K236+L236</f>
        <v>0</v>
      </c>
      <c r="H236" s="40">
        <f aca="true" t="shared" si="66" ref="H236:L237">H240+H252+H260+H264+H244+H248+H256</f>
        <v>0</v>
      </c>
      <c r="I236" s="40">
        <f t="shared" si="66"/>
        <v>0</v>
      </c>
      <c r="J236" s="40">
        <f t="shared" si="66"/>
        <v>0</v>
      </c>
      <c r="K236" s="40">
        <f t="shared" si="66"/>
        <v>0</v>
      </c>
      <c r="L236" s="40">
        <f t="shared" si="66"/>
        <v>0</v>
      </c>
      <c r="M236" s="127"/>
    </row>
    <row r="237" spans="1:13" ht="21.75" customHeight="1">
      <c r="A237" s="109"/>
      <c r="B237" s="112"/>
      <c r="C237" s="115"/>
      <c r="D237" s="125"/>
      <c r="E237" s="115"/>
      <c r="F237" s="39" t="s">
        <v>15</v>
      </c>
      <c r="G237" s="40">
        <f>H237+I237+J237+K237+L237</f>
        <v>0</v>
      </c>
      <c r="H237" s="40">
        <f t="shared" si="66"/>
        <v>0</v>
      </c>
      <c r="I237" s="40">
        <f t="shared" si="66"/>
        <v>0</v>
      </c>
      <c r="J237" s="40">
        <f t="shared" si="66"/>
        <v>0</v>
      </c>
      <c r="K237" s="40">
        <f t="shared" si="66"/>
        <v>0</v>
      </c>
      <c r="L237" s="40">
        <f t="shared" si="66"/>
        <v>0</v>
      </c>
      <c r="M237" s="128"/>
    </row>
    <row r="238" spans="1:13" ht="21.75" customHeight="1">
      <c r="A238" s="116" t="s">
        <v>69</v>
      </c>
      <c r="B238" s="98" t="s">
        <v>114</v>
      </c>
      <c r="C238" s="101" t="s">
        <v>125</v>
      </c>
      <c r="D238" s="119" t="s">
        <v>124</v>
      </c>
      <c r="E238" s="101" t="s">
        <v>106</v>
      </c>
      <c r="F238" s="16" t="s">
        <v>12</v>
      </c>
      <c r="G238" s="26">
        <f aca="true" t="shared" si="67" ref="G238:L238">G239+G240+G241</f>
        <v>1038749.8</v>
      </c>
      <c r="H238" s="26">
        <f t="shared" si="67"/>
        <v>235000</v>
      </c>
      <c r="I238" s="26">
        <f t="shared" si="67"/>
        <v>197749.8</v>
      </c>
      <c r="J238" s="26">
        <f t="shared" si="67"/>
        <v>202000</v>
      </c>
      <c r="K238" s="26">
        <f t="shared" si="67"/>
        <v>202000</v>
      </c>
      <c r="L238" s="26">
        <f t="shared" si="67"/>
        <v>202000</v>
      </c>
      <c r="M238" s="82"/>
    </row>
    <row r="239" spans="1:13" ht="21.75" customHeight="1">
      <c r="A239" s="117"/>
      <c r="B239" s="99"/>
      <c r="C239" s="102"/>
      <c r="D239" s="120"/>
      <c r="E239" s="102"/>
      <c r="F239" s="16" t="s">
        <v>13</v>
      </c>
      <c r="G239" s="26">
        <f>H239+I239+J239+K239+L239</f>
        <v>1038749.8</v>
      </c>
      <c r="H239" s="26">
        <v>235000</v>
      </c>
      <c r="I239" s="26">
        <f>252000-I251-4250.2</f>
        <v>197749.8</v>
      </c>
      <c r="J239" s="26">
        <v>202000</v>
      </c>
      <c r="K239" s="26">
        <v>202000</v>
      </c>
      <c r="L239" s="26">
        <v>202000</v>
      </c>
      <c r="M239" s="82"/>
    </row>
    <row r="240" spans="1:13" ht="21.75" customHeight="1">
      <c r="A240" s="117"/>
      <c r="B240" s="99"/>
      <c r="C240" s="102"/>
      <c r="D240" s="120"/>
      <c r="E240" s="102"/>
      <c r="F240" s="16" t="s">
        <v>14</v>
      </c>
      <c r="G240" s="26">
        <f>H240+I240+J240+K240+L240</f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82"/>
    </row>
    <row r="241" spans="1:13" ht="21.75" customHeight="1">
      <c r="A241" s="118"/>
      <c r="B241" s="100"/>
      <c r="C241" s="102"/>
      <c r="D241" s="121"/>
      <c r="E241" s="106"/>
      <c r="F241" s="16" t="s">
        <v>15</v>
      </c>
      <c r="G241" s="26">
        <f>H241+I241+J241+K241+L241</f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82"/>
    </row>
    <row r="242" spans="1:13" ht="21.75" customHeight="1">
      <c r="A242" s="101" t="s">
        <v>71</v>
      </c>
      <c r="B242" s="98" t="s">
        <v>115</v>
      </c>
      <c r="C242" s="101" t="s">
        <v>125</v>
      </c>
      <c r="D242" s="119" t="s">
        <v>126</v>
      </c>
      <c r="E242" s="101" t="s">
        <v>106</v>
      </c>
      <c r="F242" s="16" t="s">
        <v>12</v>
      </c>
      <c r="G242" s="26">
        <f aca="true" t="shared" si="68" ref="G242:L242">G243+G244+G245</f>
        <v>548828.81</v>
      </c>
      <c r="H242" s="26">
        <f t="shared" si="68"/>
        <v>125000</v>
      </c>
      <c r="I242" s="26">
        <f t="shared" si="68"/>
        <v>109250.2</v>
      </c>
      <c r="J242" s="26">
        <f t="shared" si="68"/>
        <v>104578.61</v>
      </c>
      <c r="K242" s="26">
        <f t="shared" si="68"/>
        <v>105000</v>
      </c>
      <c r="L242" s="26">
        <f t="shared" si="68"/>
        <v>105000</v>
      </c>
      <c r="M242" s="82"/>
    </row>
    <row r="243" spans="1:13" ht="21.75" customHeight="1">
      <c r="A243" s="102"/>
      <c r="B243" s="99"/>
      <c r="C243" s="102"/>
      <c r="D243" s="120"/>
      <c r="E243" s="102"/>
      <c r="F243" s="16" t="s">
        <v>13</v>
      </c>
      <c r="G243" s="26">
        <f>H243+I243+J243+K243+L243</f>
        <v>548828.81</v>
      </c>
      <c r="H243" s="26">
        <v>125000</v>
      </c>
      <c r="I243" s="26">
        <f>105000+4250.2</f>
        <v>109250.2</v>
      </c>
      <c r="J243" s="26">
        <f>105000-421.39</f>
        <v>104578.61</v>
      </c>
      <c r="K243" s="26">
        <v>105000</v>
      </c>
      <c r="L243" s="26">
        <v>105000</v>
      </c>
      <c r="M243" s="82"/>
    </row>
    <row r="244" spans="1:13" ht="21.75" customHeight="1">
      <c r="A244" s="102"/>
      <c r="B244" s="99"/>
      <c r="C244" s="102"/>
      <c r="D244" s="120"/>
      <c r="E244" s="102"/>
      <c r="F244" s="16" t="s">
        <v>14</v>
      </c>
      <c r="G244" s="26">
        <f>H244+I244+J244+K244+L244</f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82"/>
    </row>
    <row r="245" spans="1:13" ht="21.75" customHeight="1">
      <c r="A245" s="106"/>
      <c r="B245" s="100"/>
      <c r="C245" s="102"/>
      <c r="D245" s="121"/>
      <c r="E245" s="106"/>
      <c r="F245" s="16" t="s">
        <v>15</v>
      </c>
      <c r="G245" s="26">
        <f>H245+I245+J245+K245+L245</f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82"/>
    </row>
    <row r="246" spans="1:13" ht="21.75" customHeight="1">
      <c r="A246" s="101" t="s">
        <v>72</v>
      </c>
      <c r="B246" s="98" t="s">
        <v>111</v>
      </c>
      <c r="C246" s="101" t="s">
        <v>125</v>
      </c>
      <c r="D246" s="119" t="s">
        <v>124</v>
      </c>
      <c r="E246" s="101" t="s">
        <v>106</v>
      </c>
      <c r="F246" s="16" t="s">
        <v>12</v>
      </c>
      <c r="G246" s="26">
        <f aca="true" t="shared" si="69" ref="G246:L246">G247+G248+G249</f>
        <v>1000000</v>
      </c>
      <c r="H246" s="26">
        <f t="shared" si="69"/>
        <v>200000</v>
      </c>
      <c r="I246" s="26">
        <f t="shared" si="69"/>
        <v>200000</v>
      </c>
      <c r="J246" s="26">
        <f t="shared" si="69"/>
        <v>200000</v>
      </c>
      <c r="K246" s="26">
        <f t="shared" si="69"/>
        <v>200000</v>
      </c>
      <c r="L246" s="26">
        <f t="shared" si="69"/>
        <v>200000</v>
      </c>
      <c r="M246" s="82"/>
    </row>
    <row r="247" spans="1:13" ht="21.75" customHeight="1">
      <c r="A247" s="102"/>
      <c r="B247" s="99"/>
      <c r="C247" s="102"/>
      <c r="D247" s="120"/>
      <c r="E247" s="102"/>
      <c r="F247" s="16" t="s">
        <v>13</v>
      </c>
      <c r="G247" s="26">
        <f>H247+I247+J247+K247+L247</f>
        <v>1000000</v>
      </c>
      <c r="H247" s="26">
        <v>200000</v>
      </c>
      <c r="I247" s="26">
        <v>200000</v>
      </c>
      <c r="J247" s="26">
        <v>200000</v>
      </c>
      <c r="K247" s="26">
        <v>200000</v>
      </c>
      <c r="L247" s="26">
        <v>200000</v>
      </c>
      <c r="M247" s="82"/>
    </row>
    <row r="248" spans="1:13" ht="21.75" customHeight="1">
      <c r="A248" s="102"/>
      <c r="B248" s="99"/>
      <c r="C248" s="102"/>
      <c r="D248" s="120"/>
      <c r="E248" s="102"/>
      <c r="F248" s="16" t="s">
        <v>14</v>
      </c>
      <c r="G248" s="26">
        <f>H248+I248+J248+K248+L248</f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82"/>
    </row>
    <row r="249" spans="1:13" ht="21.75" customHeight="1">
      <c r="A249" s="106"/>
      <c r="B249" s="100"/>
      <c r="C249" s="102"/>
      <c r="D249" s="121"/>
      <c r="E249" s="106"/>
      <c r="F249" s="16" t="s">
        <v>15</v>
      </c>
      <c r="G249" s="26">
        <f>H249+I249+J249+K249+L249</f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82"/>
    </row>
    <row r="250" spans="1:13" ht="21.75" customHeight="1">
      <c r="A250" s="116" t="s">
        <v>73</v>
      </c>
      <c r="B250" s="98" t="s">
        <v>89</v>
      </c>
      <c r="C250" s="101" t="s">
        <v>125</v>
      </c>
      <c r="D250" s="119" t="s">
        <v>124</v>
      </c>
      <c r="E250" s="101" t="s">
        <v>106</v>
      </c>
      <c r="F250" s="16" t="s">
        <v>12</v>
      </c>
      <c r="G250" s="26">
        <f aca="true" t="shared" si="70" ref="G250:L250">G251+G252+G253</f>
        <v>240000</v>
      </c>
      <c r="H250" s="26">
        <f t="shared" si="70"/>
        <v>40000</v>
      </c>
      <c r="I250" s="26">
        <f t="shared" si="70"/>
        <v>50000</v>
      </c>
      <c r="J250" s="26">
        <f t="shared" si="70"/>
        <v>50000</v>
      </c>
      <c r="K250" s="26">
        <f t="shared" si="70"/>
        <v>50000</v>
      </c>
      <c r="L250" s="26">
        <f t="shared" si="70"/>
        <v>50000</v>
      </c>
      <c r="M250" s="82"/>
    </row>
    <row r="251" spans="1:13" ht="21.75" customHeight="1">
      <c r="A251" s="117"/>
      <c r="B251" s="99"/>
      <c r="C251" s="102"/>
      <c r="D251" s="120"/>
      <c r="E251" s="102"/>
      <c r="F251" s="16" t="s">
        <v>13</v>
      </c>
      <c r="G251" s="26">
        <f>H251+I251+J251+K251+L251</f>
        <v>240000</v>
      </c>
      <c r="H251" s="26">
        <v>40000</v>
      </c>
      <c r="I251" s="26">
        <v>50000</v>
      </c>
      <c r="J251" s="26">
        <v>50000</v>
      </c>
      <c r="K251" s="26">
        <v>50000</v>
      </c>
      <c r="L251" s="26">
        <v>50000</v>
      </c>
      <c r="M251" s="82"/>
    </row>
    <row r="252" spans="1:13" ht="21.75" customHeight="1">
      <c r="A252" s="117"/>
      <c r="B252" s="99"/>
      <c r="C252" s="102"/>
      <c r="D252" s="120"/>
      <c r="E252" s="102"/>
      <c r="F252" s="16" t="s">
        <v>14</v>
      </c>
      <c r="G252" s="26">
        <f>H252+I252+J252+K252+L252</f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82"/>
    </row>
    <row r="253" spans="1:13" ht="21.75" customHeight="1">
      <c r="A253" s="118"/>
      <c r="B253" s="100"/>
      <c r="C253" s="102"/>
      <c r="D253" s="121"/>
      <c r="E253" s="106"/>
      <c r="F253" s="16" t="s">
        <v>15</v>
      </c>
      <c r="G253" s="26">
        <f>H253+I253+J253+K253+L253</f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82"/>
    </row>
    <row r="254" spans="1:13" ht="21.75" customHeight="1" hidden="1" outlineLevel="1">
      <c r="A254" s="116" t="s">
        <v>85</v>
      </c>
      <c r="B254" s="98" t="s">
        <v>70</v>
      </c>
      <c r="C254" s="101" t="s">
        <v>125</v>
      </c>
      <c r="D254" s="101"/>
      <c r="E254" s="101" t="s">
        <v>106</v>
      </c>
      <c r="F254" s="16" t="s">
        <v>12</v>
      </c>
      <c r="G254" s="26">
        <f aca="true" t="shared" si="71" ref="G254:L254">G255+G256+G257</f>
        <v>0</v>
      </c>
      <c r="H254" s="26">
        <f t="shared" si="71"/>
        <v>0</v>
      </c>
      <c r="I254" s="26">
        <f t="shared" si="71"/>
        <v>0</v>
      </c>
      <c r="J254" s="26">
        <f t="shared" si="71"/>
        <v>0</v>
      </c>
      <c r="K254" s="26">
        <f t="shared" si="71"/>
        <v>0</v>
      </c>
      <c r="L254" s="26">
        <f t="shared" si="71"/>
        <v>0</v>
      </c>
      <c r="M254" s="82"/>
    </row>
    <row r="255" spans="1:13" ht="21.75" customHeight="1" hidden="1" outlineLevel="1">
      <c r="A255" s="117"/>
      <c r="B255" s="99"/>
      <c r="C255" s="102"/>
      <c r="D255" s="102"/>
      <c r="E255" s="102"/>
      <c r="F255" s="16" t="s">
        <v>13</v>
      </c>
      <c r="G255" s="26">
        <f>H255+I255+J255+K255+L255</f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82"/>
    </row>
    <row r="256" spans="1:13" ht="21.75" customHeight="1" hidden="1" outlineLevel="1">
      <c r="A256" s="117"/>
      <c r="B256" s="99"/>
      <c r="C256" s="102"/>
      <c r="D256" s="102"/>
      <c r="E256" s="102"/>
      <c r="F256" s="16" t="s">
        <v>14</v>
      </c>
      <c r="G256" s="26">
        <f>H256+I256+J256+K256+L256</f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82"/>
    </row>
    <row r="257" spans="1:13" ht="21.75" customHeight="1" hidden="1" outlineLevel="1">
      <c r="A257" s="118"/>
      <c r="B257" s="100"/>
      <c r="C257" s="102"/>
      <c r="D257" s="106"/>
      <c r="E257" s="106"/>
      <c r="F257" s="16" t="s">
        <v>15</v>
      </c>
      <c r="G257" s="26">
        <f>H257+I257+J257+K257+L257</f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82"/>
    </row>
    <row r="258" spans="1:13" ht="21.75" customHeight="1" hidden="1" outlineLevel="1">
      <c r="A258" s="116" t="s">
        <v>112</v>
      </c>
      <c r="B258" s="98" t="s">
        <v>91</v>
      </c>
      <c r="C258" s="101" t="s">
        <v>125</v>
      </c>
      <c r="D258" s="101"/>
      <c r="E258" s="101" t="s">
        <v>106</v>
      </c>
      <c r="F258" s="16" t="s">
        <v>12</v>
      </c>
      <c r="G258" s="26">
        <f aca="true" t="shared" si="72" ref="G258:L258">G259+G260+G261</f>
        <v>0</v>
      </c>
      <c r="H258" s="26">
        <f t="shared" si="72"/>
        <v>0</v>
      </c>
      <c r="I258" s="26">
        <f t="shared" si="72"/>
        <v>0</v>
      </c>
      <c r="J258" s="26">
        <f t="shared" si="72"/>
        <v>0</v>
      </c>
      <c r="K258" s="26">
        <f t="shared" si="72"/>
        <v>0</v>
      </c>
      <c r="L258" s="26">
        <f t="shared" si="72"/>
        <v>0</v>
      </c>
      <c r="M258" s="82"/>
    </row>
    <row r="259" spans="1:13" ht="21.75" customHeight="1" hidden="1" outlineLevel="1">
      <c r="A259" s="117"/>
      <c r="B259" s="99"/>
      <c r="C259" s="102"/>
      <c r="D259" s="102"/>
      <c r="E259" s="102"/>
      <c r="F259" s="16" t="s">
        <v>13</v>
      </c>
      <c r="G259" s="26">
        <f>H259+I259+J259+K259+L259</f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82"/>
    </row>
    <row r="260" spans="1:13" ht="21.75" customHeight="1" hidden="1" outlineLevel="1">
      <c r="A260" s="117"/>
      <c r="B260" s="99"/>
      <c r="C260" s="102"/>
      <c r="D260" s="102"/>
      <c r="E260" s="102"/>
      <c r="F260" s="16" t="s">
        <v>14</v>
      </c>
      <c r="G260" s="26">
        <f>H260+I260+J260+K260+L260</f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82"/>
    </row>
    <row r="261" spans="1:13" ht="21.75" customHeight="1" hidden="1" outlineLevel="1">
      <c r="A261" s="118"/>
      <c r="B261" s="100"/>
      <c r="C261" s="102"/>
      <c r="D261" s="106"/>
      <c r="E261" s="106"/>
      <c r="F261" s="16" t="s">
        <v>15</v>
      </c>
      <c r="G261" s="26">
        <f>H261+I261+J261+K261+L261</f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82"/>
    </row>
    <row r="262" spans="1:13" ht="21.75" customHeight="1" hidden="1" outlineLevel="1">
      <c r="A262" s="69"/>
      <c r="B262" s="98" t="s">
        <v>105</v>
      </c>
      <c r="C262" s="101" t="s">
        <v>125</v>
      </c>
      <c r="D262" s="101"/>
      <c r="E262" s="101" t="s">
        <v>106</v>
      </c>
      <c r="F262" s="16" t="s">
        <v>12</v>
      </c>
      <c r="G262" s="26">
        <f aca="true" t="shared" si="73" ref="G262:L262">G263+G264+G265</f>
        <v>0</v>
      </c>
      <c r="H262" s="26">
        <f t="shared" si="73"/>
        <v>0</v>
      </c>
      <c r="I262" s="26">
        <f t="shared" si="73"/>
        <v>0</v>
      </c>
      <c r="J262" s="26">
        <f t="shared" si="73"/>
        <v>0</v>
      </c>
      <c r="K262" s="26">
        <f t="shared" si="73"/>
        <v>0</v>
      </c>
      <c r="L262" s="26">
        <f t="shared" si="73"/>
        <v>0</v>
      </c>
      <c r="M262" s="82"/>
    </row>
    <row r="263" spans="1:13" ht="21.75" customHeight="1" hidden="1" outlineLevel="1">
      <c r="A263" s="69" t="s">
        <v>113</v>
      </c>
      <c r="B263" s="99"/>
      <c r="C263" s="102"/>
      <c r="D263" s="102"/>
      <c r="E263" s="102"/>
      <c r="F263" s="16" t="s">
        <v>13</v>
      </c>
      <c r="G263" s="27">
        <f>H263+I263+J263+K263+L263</f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82"/>
    </row>
    <row r="264" spans="1:13" ht="21.75" customHeight="1" hidden="1" outlineLevel="1">
      <c r="A264" s="69"/>
      <c r="B264" s="99"/>
      <c r="C264" s="102"/>
      <c r="D264" s="102"/>
      <c r="E264" s="102"/>
      <c r="F264" s="16" t="s">
        <v>14</v>
      </c>
      <c r="G264" s="27">
        <f>H264+I264+J264+K264+L264</f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82"/>
    </row>
    <row r="265" spans="1:13" ht="21.75" customHeight="1" hidden="1" outlineLevel="1">
      <c r="A265" s="69"/>
      <c r="B265" s="100"/>
      <c r="C265" s="102"/>
      <c r="D265" s="106"/>
      <c r="E265" s="106"/>
      <c r="F265" s="16" t="s">
        <v>15</v>
      </c>
      <c r="G265" s="27">
        <f>H265+I265+J265+K265+L265</f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122"/>
    </row>
    <row r="266" spans="1:13" ht="21.75" customHeight="1" collapsed="1">
      <c r="A266" s="107">
        <v>5</v>
      </c>
      <c r="B266" s="110" t="s">
        <v>152</v>
      </c>
      <c r="C266" s="113" t="s">
        <v>125</v>
      </c>
      <c r="D266" s="45"/>
      <c r="E266" s="113" t="s">
        <v>106</v>
      </c>
      <c r="F266" s="39" t="s">
        <v>12</v>
      </c>
      <c r="G266" s="40">
        <f aca="true" t="shared" si="74" ref="G266:L266">G267+G268+G269</f>
        <v>70520420.16</v>
      </c>
      <c r="H266" s="40">
        <f t="shared" si="74"/>
        <v>13370422.13</v>
      </c>
      <c r="I266" s="40">
        <f t="shared" si="74"/>
        <v>13699325.03</v>
      </c>
      <c r="J266" s="40">
        <f t="shared" si="74"/>
        <v>14738271</v>
      </c>
      <c r="K266" s="40">
        <f t="shared" si="74"/>
        <v>14288224</v>
      </c>
      <c r="L266" s="40">
        <f t="shared" si="74"/>
        <v>14424178</v>
      </c>
      <c r="M266" s="70"/>
    </row>
    <row r="267" spans="1:13" ht="21.75" customHeight="1">
      <c r="A267" s="108"/>
      <c r="B267" s="111"/>
      <c r="C267" s="114"/>
      <c r="D267" s="46"/>
      <c r="E267" s="114"/>
      <c r="F267" s="39" t="s">
        <v>13</v>
      </c>
      <c r="G267" s="40">
        <f>H267+I267+J267+K267+L267</f>
        <v>70520420.16</v>
      </c>
      <c r="H267" s="40">
        <f aca="true" t="shared" si="75" ref="H267:L269">H271</f>
        <v>13370422.13</v>
      </c>
      <c r="I267" s="40">
        <f t="shared" si="75"/>
        <v>13699325.03</v>
      </c>
      <c r="J267" s="40">
        <f t="shared" si="75"/>
        <v>14738271</v>
      </c>
      <c r="K267" s="40">
        <f t="shared" si="75"/>
        <v>14288224</v>
      </c>
      <c r="L267" s="40">
        <f t="shared" si="75"/>
        <v>14424178</v>
      </c>
      <c r="M267" s="70"/>
    </row>
    <row r="268" spans="1:13" ht="21.75" customHeight="1">
      <c r="A268" s="108"/>
      <c r="B268" s="111"/>
      <c r="C268" s="114"/>
      <c r="D268" s="46"/>
      <c r="E268" s="114"/>
      <c r="F268" s="39" t="s">
        <v>14</v>
      </c>
      <c r="G268" s="40">
        <f>H268+I268+J268+K268+L268</f>
        <v>0</v>
      </c>
      <c r="H268" s="40">
        <f t="shared" si="75"/>
        <v>0</v>
      </c>
      <c r="I268" s="40">
        <f t="shared" si="75"/>
        <v>0</v>
      </c>
      <c r="J268" s="40">
        <f t="shared" si="75"/>
        <v>0</v>
      </c>
      <c r="K268" s="40">
        <f t="shared" si="75"/>
        <v>0</v>
      </c>
      <c r="L268" s="40">
        <f t="shared" si="75"/>
        <v>0</v>
      </c>
      <c r="M268" s="70"/>
    </row>
    <row r="269" spans="1:13" ht="21.75" customHeight="1">
      <c r="A269" s="109"/>
      <c r="B269" s="112"/>
      <c r="C269" s="115"/>
      <c r="D269" s="47"/>
      <c r="E269" s="115"/>
      <c r="F269" s="39" t="s">
        <v>15</v>
      </c>
      <c r="G269" s="40">
        <f>H269+I269+J269+K269+L269</f>
        <v>0</v>
      </c>
      <c r="H269" s="40">
        <f t="shared" si="75"/>
        <v>0</v>
      </c>
      <c r="I269" s="40">
        <f t="shared" si="75"/>
        <v>0</v>
      </c>
      <c r="J269" s="40">
        <f t="shared" si="75"/>
        <v>0</v>
      </c>
      <c r="K269" s="40">
        <f t="shared" si="75"/>
        <v>0</v>
      </c>
      <c r="L269" s="40">
        <f t="shared" si="75"/>
        <v>0</v>
      </c>
      <c r="M269" s="70"/>
    </row>
    <row r="270" spans="1:13" ht="21.75" customHeight="1">
      <c r="A270" s="116" t="s">
        <v>74</v>
      </c>
      <c r="B270" s="98" t="s">
        <v>79</v>
      </c>
      <c r="C270" s="101" t="s">
        <v>125</v>
      </c>
      <c r="D270" s="101" t="s">
        <v>143</v>
      </c>
      <c r="E270" s="101" t="s">
        <v>106</v>
      </c>
      <c r="F270" s="16" t="s">
        <v>12</v>
      </c>
      <c r="G270" s="26">
        <f aca="true" t="shared" si="76" ref="G270:L270">G271+G272+G273</f>
        <v>70520420.16</v>
      </c>
      <c r="H270" s="26">
        <f t="shared" si="76"/>
        <v>13370422.13</v>
      </c>
      <c r="I270" s="26">
        <f t="shared" si="76"/>
        <v>13699325.03</v>
      </c>
      <c r="J270" s="26">
        <f t="shared" si="76"/>
        <v>14738271</v>
      </c>
      <c r="K270" s="26">
        <f t="shared" si="76"/>
        <v>14288224</v>
      </c>
      <c r="L270" s="26">
        <f t="shared" si="76"/>
        <v>14424178</v>
      </c>
      <c r="M270" s="81" t="s">
        <v>80</v>
      </c>
    </row>
    <row r="271" spans="1:13" ht="21.75" customHeight="1">
      <c r="A271" s="117"/>
      <c r="B271" s="99"/>
      <c r="C271" s="102"/>
      <c r="D271" s="102"/>
      <c r="E271" s="102"/>
      <c r="F271" s="16" t="s">
        <v>13</v>
      </c>
      <c r="G271" s="26">
        <f>H271+I271+J271+K271+L271</f>
        <v>70520420.16</v>
      </c>
      <c r="H271" s="26">
        <f>13390422.13-20000</f>
        <v>13370422.13</v>
      </c>
      <c r="I271" s="26">
        <v>13699325.03</v>
      </c>
      <c r="J271" s="26">
        <f>14153616+449044+135611</f>
        <v>14738271</v>
      </c>
      <c r="K271" s="26">
        <f>14288224</f>
        <v>14288224</v>
      </c>
      <c r="L271" s="26">
        <f>14424178</f>
        <v>14424178</v>
      </c>
      <c r="M271" s="82"/>
    </row>
    <row r="272" spans="1:13" ht="21.75" customHeight="1">
      <c r="A272" s="117"/>
      <c r="B272" s="99"/>
      <c r="C272" s="102"/>
      <c r="D272" s="102"/>
      <c r="E272" s="102"/>
      <c r="F272" s="16" t="s">
        <v>14</v>
      </c>
      <c r="G272" s="26">
        <f>H272+I272+J272+K272+L272</f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82"/>
    </row>
    <row r="273" spans="1:13" ht="21.75" customHeight="1">
      <c r="A273" s="118"/>
      <c r="B273" s="100"/>
      <c r="C273" s="106"/>
      <c r="D273" s="106"/>
      <c r="E273" s="106"/>
      <c r="F273" s="16" t="s">
        <v>15</v>
      </c>
      <c r="G273" s="26">
        <f>H273+I273+J273+K273+L273</f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82"/>
    </row>
    <row r="274" spans="1:13" ht="23.25" customHeight="1" hidden="1" outlineLevel="1">
      <c r="A274" s="107">
        <v>6</v>
      </c>
      <c r="B274" s="110" t="s">
        <v>205</v>
      </c>
      <c r="C274" s="113" t="s">
        <v>125</v>
      </c>
      <c r="D274" s="45"/>
      <c r="E274" s="113" t="s">
        <v>106</v>
      </c>
      <c r="F274" s="39" t="s">
        <v>12</v>
      </c>
      <c r="G274" s="40">
        <f aca="true" t="shared" si="77" ref="G274:L274">G275+G276+G277</f>
        <v>0</v>
      </c>
      <c r="H274" s="40">
        <f t="shared" si="77"/>
        <v>0</v>
      </c>
      <c r="I274" s="40">
        <f t="shared" si="77"/>
        <v>0</v>
      </c>
      <c r="J274" s="40">
        <f t="shared" si="77"/>
        <v>0</v>
      </c>
      <c r="K274" s="40">
        <f t="shared" si="77"/>
        <v>0</v>
      </c>
      <c r="L274" s="40">
        <f t="shared" si="77"/>
        <v>0</v>
      </c>
      <c r="M274" s="70"/>
    </row>
    <row r="275" spans="1:13" ht="23.25" customHeight="1" hidden="1" outlineLevel="1">
      <c r="A275" s="108"/>
      <c r="B275" s="178"/>
      <c r="C275" s="114"/>
      <c r="D275" s="46"/>
      <c r="E275" s="114"/>
      <c r="F275" s="39" t="s">
        <v>13</v>
      </c>
      <c r="G275" s="40">
        <f>H275+I275+J275+K275+L275</f>
        <v>0</v>
      </c>
      <c r="H275" s="40">
        <f aca="true" t="shared" si="78" ref="H275:L277">H279</f>
        <v>0</v>
      </c>
      <c r="I275" s="40">
        <f t="shared" si="78"/>
        <v>0</v>
      </c>
      <c r="J275" s="40">
        <f t="shared" si="78"/>
        <v>0</v>
      </c>
      <c r="K275" s="40">
        <f t="shared" si="78"/>
        <v>0</v>
      </c>
      <c r="L275" s="40">
        <f t="shared" si="78"/>
        <v>0</v>
      </c>
      <c r="M275" s="70"/>
    </row>
    <row r="276" spans="1:13" ht="23.25" customHeight="1" hidden="1" outlineLevel="1">
      <c r="A276" s="108"/>
      <c r="B276" s="178"/>
      <c r="C276" s="114"/>
      <c r="D276" s="46"/>
      <c r="E276" s="114"/>
      <c r="F276" s="39" t="s">
        <v>14</v>
      </c>
      <c r="G276" s="40">
        <f>H276+I276+J276+K276+L276</f>
        <v>0</v>
      </c>
      <c r="H276" s="40">
        <f t="shared" si="78"/>
        <v>0</v>
      </c>
      <c r="I276" s="40">
        <f t="shared" si="78"/>
        <v>0</v>
      </c>
      <c r="J276" s="40">
        <f t="shared" si="78"/>
        <v>0</v>
      </c>
      <c r="K276" s="40">
        <f t="shared" si="78"/>
        <v>0</v>
      </c>
      <c r="L276" s="40">
        <f t="shared" si="78"/>
        <v>0</v>
      </c>
      <c r="M276" s="70"/>
    </row>
    <row r="277" spans="1:13" ht="27" customHeight="1" hidden="1" outlineLevel="1">
      <c r="A277" s="109"/>
      <c r="B277" s="179"/>
      <c r="C277" s="115"/>
      <c r="D277" s="47"/>
      <c r="E277" s="115"/>
      <c r="F277" s="39" t="s">
        <v>15</v>
      </c>
      <c r="G277" s="40">
        <f>H277+I277+J277+K277+L277</f>
        <v>0</v>
      </c>
      <c r="H277" s="40">
        <f t="shared" si="78"/>
        <v>0</v>
      </c>
      <c r="I277" s="40">
        <f t="shared" si="78"/>
        <v>0</v>
      </c>
      <c r="J277" s="40">
        <f t="shared" si="78"/>
        <v>0</v>
      </c>
      <c r="K277" s="40">
        <f t="shared" si="78"/>
        <v>0</v>
      </c>
      <c r="L277" s="40">
        <f t="shared" si="78"/>
        <v>0</v>
      </c>
      <c r="M277" s="70"/>
    </row>
    <row r="278" spans="1:13" ht="21.75" customHeight="1" hidden="1" outlineLevel="1">
      <c r="A278" s="116" t="s">
        <v>196</v>
      </c>
      <c r="B278" s="98" t="s">
        <v>195</v>
      </c>
      <c r="C278" s="101" t="s">
        <v>125</v>
      </c>
      <c r="D278" s="101" t="s">
        <v>143</v>
      </c>
      <c r="E278" s="101" t="s">
        <v>106</v>
      </c>
      <c r="F278" s="16" t="s">
        <v>12</v>
      </c>
      <c r="G278" s="26">
        <f aca="true" t="shared" si="79" ref="G278:L278">G279+G280+G281</f>
        <v>0</v>
      </c>
      <c r="H278" s="26">
        <f t="shared" si="79"/>
        <v>0</v>
      </c>
      <c r="I278" s="26">
        <f t="shared" si="79"/>
        <v>0</v>
      </c>
      <c r="J278" s="26">
        <f t="shared" si="79"/>
        <v>0</v>
      </c>
      <c r="K278" s="26">
        <f t="shared" si="79"/>
        <v>0</v>
      </c>
      <c r="L278" s="26">
        <f t="shared" si="79"/>
        <v>0</v>
      </c>
      <c r="M278" s="157" t="s">
        <v>204</v>
      </c>
    </row>
    <row r="279" spans="1:13" ht="21.75" customHeight="1" hidden="1" outlineLevel="1">
      <c r="A279" s="117"/>
      <c r="B279" s="99"/>
      <c r="C279" s="102"/>
      <c r="D279" s="102"/>
      <c r="E279" s="102"/>
      <c r="F279" s="16" t="s">
        <v>13</v>
      </c>
      <c r="G279" s="26">
        <f>H279+I279+J279+K279+L279</f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158"/>
    </row>
    <row r="280" spans="1:13" ht="21.75" customHeight="1" hidden="1" outlineLevel="1">
      <c r="A280" s="117"/>
      <c r="B280" s="99"/>
      <c r="C280" s="102"/>
      <c r="D280" s="102"/>
      <c r="E280" s="102"/>
      <c r="F280" s="16" t="s">
        <v>14</v>
      </c>
      <c r="G280" s="26">
        <f>H280+I280+J280+K280+L280</f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158"/>
    </row>
    <row r="281" spans="1:13" ht="21.75" customHeight="1" hidden="1" outlineLevel="1">
      <c r="A281" s="118"/>
      <c r="B281" s="100"/>
      <c r="C281" s="106"/>
      <c r="D281" s="106"/>
      <c r="E281" s="106"/>
      <c r="F281" s="16" t="s">
        <v>15</v>
      </c>
      <c r="G281" s="26">
        <f>H281+I281+J281+K281+L281</f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158"/>
    </row>
    <row r="282" spans="1:13" ht="21.75" customHeight="1" hidden="1" outlineLevel="1">
      <c r="A282" s="107">
        <v>7</v>
      </c>
      <c r="B282" s="110" t="s">
        <v>201</v>
      </c>
      <c r="C282" s="113" t="s">
        <v>125</v>
      </c>
      <c r="D282" s="45"/>
      <c r="E282" s="113" t="s">
        <v>106</v>
      </c>
      <c r="F282" s="39" t="s">
        <v>12</v>
      </c>
      <c r="G282" s="40">
        <f aca="true" t="shared" si="80" ref="G282:L282">G283+G284+G285</f>
        <v>0</v>
      </c>
      <c r="H282" s="40">
        <f t="shared" si="80"/>
        <v>0</v>
      </c>
      <c r="I282" s="40">
        <f t="shared" si="80"/>
        <v>0</v>
      </c>
      <c r="J282" s="40">
        <f t="shared" si="80"/>
        <v>0</v>
      </c>
      <c r="K282" s="40">
        <f t="shared" si="80"/>
        <v>0</v>
      </c>
      <c r="L282" s="40">
        <f t="shared" si="80"/>
        <v>0</v>
      </c>
      <c r="M282" s="70"/>
    </row>
    <row r="283" spans="1:13" ht="21.75" customHeight="1" hidden="1" outlineLevel="1">
      <c r="A283" s="108"/>
      <c r="B283" s="111"/>
      <c r="C283" s="114"/>
      <c r="D283" s="46"/>
      <c r="E283" s="114"/>
      <c r="F283" s="39" t="s">
        <v>13</v>
      </c>
      <c r="G283" s="40">
        <f>H283+I283+J283+K283+L283</f>
        <v>0</v>
      </c>
      <c r="H283" s="40">
        <f aca="true" t="shared" si="81" ref="H283:L285">H287</f>
        <v>0</v>
      </c>
      <c r="I283" s="40">
        <f t="shared" si="81"/>
        <v>0</v>
      </c>
      <c r="J283" s="40">
        <f t="shared" si="81"/>
        <v>0</v>
      </c>
      <c r="K283" s="40">
        <f t="shared" si="81"/>
        <v>0</v>
      </c>
      <c r="L283" s="40">
        <f t="shared" si="81"/>
        <v>0</v>
      </c>
      <c r="M283" s="70"/>
    </row>
    <row r="284" spans="1:13" ht="21.75" customHeight="1" hidden="1" outlineLevel="1">
      <c r="A284" s="108"/>
      <c r="B284" s="111"/>
      <c r="C284" s="114"/>
      <c r="D284" s="46"/>
      <c r="E284" s="114"/>
      <c r="F284" s="39" t="s">
        <v>14</v>
      </c>
      <c r="G284" s="40">
        <f>H284+I284+J284+K284+L284</f>
        <v>0</v>
      </c>
      <c r="H284" s="40">
        <f t="shared" si="81"/>
        <v>0</v>
      </c>
      <c r="I284" s="40">
        <f t="shared" si="81"/>
        <v>0</v>
      </c>
      <c r="J284" s="40">
        <f t="shared" si="81"/>
        <v>0</v>
      </c>
      <c r="K284" s="40">
        <f t="shared" si="81"/>
        <v>0</v>
      </c>
      <c r="L284" s="40">
        <f t="shared" si="81"/>
        <v>0</v>
      </c>
      <c r="M284" s="70"/>
    </row>
    <row r="285" spans="1:13" ht="21.75" customHeight="1" hidden="1" outlineLevel="1">
      <c r="A285" s="109"/>
      <c r="B285" s="112"/>
      <c r="C285" s="115"/>
      <c r="D285" s="47"/>
      <c r="E285" s="115"/>
      <c r="F285" s="39" t="s">
        <v>15</v>
      </c>
      <c r="G285" s="40">
        <f>H285+I285+J285+K285+L285</f>
        <v>0</v>
      </c>
      <c r="H285" s="40">
        <f t="shared" si="81"/>
        <v>0</v>
      </c>
      <c r="I285" s="40">
        <f t="shared" si="81"/>
        <v>0</v>
      </c>
      <c r="J285" s="40">
        <f t="shared" si="81"/>
        <v>0</v>
      </c>
      <c r="K285" s="40">
        <f t="shared" si="81"/>
        <v>0</v>
      </c>
      <c r="L285" s="40">
        <f t="shared" si="81"/>
        <v>0</v>
      </c>
      <c r="M285" s="70"/>
    </row>
    <row r="286" spans="1:13" ht="30.75" customHeight="1" hidden="1" outlineLevel="1">
      <c r="A286" s="116" t="s">
        <v>198</v>
      </c>
      <c r="B286" s="98" t="s">
        <v>197</v>
      </c>
      <c r="C286" s="101" t="s">
        <v>125</v>
      </c>
      <c r="D286" s="101" t="s">
        <v>143</v>
      </c>
      <c r="E286" s="101" t="s">
        <v>106</v>
      </c>
      <c r="F286" s="16" t="s">
        <v>12</v>
      </c>
      <c r="G286" s="26">
        <f aca="true" t="shared" si="82" ref="G286:L286">G287+G288+G289</f>
        <v>0</v>
      </c>
      <c r="H286" s="26">
        <f t="shared" si="82"/>
        <v>0</v>
      </c>
      <c r="I286" s="26">
        <f t="shared" si="82"/>
        <v>0</v>
      </c>
      <c r="J286" s="26">
        <f t="shared" si="82"/>
        <v>0</v>
      </c>
      <c r="K286" s="26">
        <f t="shared" si="82"/>
        <v>0</v>
      </c>
      <c r="L286" s="26">
        <f t="shared" si="82"/>
        <v>0</v>
      </c>
      <c r="M286" s="180" t="s">
        <v>203</v>
      </c>
    </row>
    <row r="287" spans="1:13" ht="30.75" customHeight="1" hidden="1" outlineLevel="1">
      <c r="A287" s="117"/>
      <c r="B287" s="99"/>
      <c r="C287" s="102"/>
      <c r="D287" s="102"/>
      <c r="E287" s="102"/>
      <c r="F287" s="16" t="s">
        <v>13</v>
      </c>
      <c r="G287" s="26">
        <f>H287+I287+J287+K287+L287</f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181"/>
    </row>
    <row r="288" spans="1:13" ht="30.75" customHeight="1" hidden="1" outlineLevel="1">
      <c r="A288" s="117"/>
      <c r="B288" s="99"/>
      <c r="C288" s="102"/>
      <c r="D288" s="102"/>
      <c r="E288" s="102"/>
      <c r="F288" s="16" t="s">
        <v>14</v>
      </c>
      <c r="G288" s="26">
        <f>H288+I288+J288+K288+L288</f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181"/>
    </row>
    <row r="289" spans="1:13" ht="30.75" customHeight="1" hidden="1" outlineLevel="1">
      <c r="A289" s="118"/>
      <c r="B289" s="100"/>
      <c r="C289" s="106"/>
      <c r="D289" s="106"/>
      <c r="E289" s="106"/>
      <c r="F289" s="16" t="s">
        <v>15</v>
      </c>
      <c r="G289" s="26">
        <f>H289+I289+J289+K289+L289</f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181"/>
    </row>
    <row r="290" spans="1:13" ht="21.75" customHeight="1" collapsed="1">
      <c r="A290" s="83" t="s">
        <v>75</v>
      </c>
      <c r="B290" s="86" t="s">
        <v>76</v>
      </c>
      <c r="C290" s="87"/>
      <c r="D290" s="87"/>
      <c r="E290" s="88"/>
      <c r="F290" s="55" t="s">
        <v>12</v>
      </c>
      <c r="G290" s="56" t="e">
        <f aca="true" t="shared" si="83" ref="G290:L290">G291+G292+G293</f>
        <v>#REF!</v>
      </c>
      <c r="H290" s="56">
        <f t="shared" si="83"/>
        <v>952111245</v>
      </c>
      <c r="I290" s="56">
        <f t="shared" si="83"/>
        <v>1061957868.3599999</v>
      </c>
      <c r="J290" s="56" t="e">
        <f t="shared" si="83"/>
        <v>#REF!</v>
      </c>
      <c r="K290" s="56">
        <f t="shared" si="83"/>
        <v>1069134834.1</v>
      </c>
      <c r="L290" s="56">
        <f t="shared" si="83"/>
        <v>1056420748.03</v>
      </c>
      <c r="M290" s="70"/>
    </row>
    <row r="291" spans="1:13" ht="21.75" customHeight="1">
      <c r="A291" s="84"/>
      <c r="B291" s="89"/>
      <c r="C291" s="90"/>
      <c r="D291" s="90"/>
      <c r="E291" s="91"/>
      <c r="F291" s="55" t="s">
        <v>13</v>
      </c>
      <c r="G291" s="56">
        <f>H291+I291+J291+K291+L291</f>
        <v>1388925319.9599998</v>
      </c>
      <c r="H291" s="56">
        <f aca="true" t="shared" si="84" ref="H291:L293">H283+H235+H211+H171+H11+H267+H275</f>
        <v>257261460.35</v>
      </c>
      <c r="I291" s="56">
        <f t="shared" si="84"/>
        <v>274006749.57</v>
      </c>
      <c r="J291" s="56">
        <f t="shared" si="84"/>
        <v>297047376.95</v>
      </c>
      <c r="K291" s="56">
        <f t="shared" si="84"/>
        <v>281447941.77</v>
      </c>
      <c r="L291" s="56">
        <f t="shared" si="84"/>
        <v>279161791.32</v>
      </c>
      <c r="M291" s="70"/>
    </row>
    <row r="292" spans="1:13" ht="21.75" customHeight="1">
      <c r="A292" s="84"/>
      <c r="B292" s="89"/>
      <c r="C292" s="90"/>
      <c r="D292" s="90"/>
      <c r="E292" s="91"/>
      <c r="F292" s="55" t="s">
        <v>14</v>
      </c>
      <c r="G292" s="56" t="e">
        <f>H292+I292+J292+K292+L292</f>
        <v>#REF!</v>
      </c>
      <c r="H292" s="56">
        <f t="shared" si="84"/>
        <v>674427650.65</v>
      </c>
      <c r="I292" s="56">
        <f t="shared" si="84"/>
        <v>721973504.3299999</v>
      </c>
      <c r="J292" s="56" t="e">
        <f t="shared" si="84"/>
        <v>#REF!</v>
      </c>
      <c r="K292" s="56">
        <f t="shared" si="84"/>
        <v>725318242.33</v>
      </c>
      <c r="L292" s="56">
        <f t="shared" si="84"/>
        <v>730002486.7099999</v>
      </c>
      <c r="M292" s="70"/>
    </row>
    <row r="293" spans="1:13" ht="21.75" customHeight="1">
      <c r="A293" s="85"/>
      <c r="B293" s="92"/>
      <c r="C293" s="93"/>
      <c r="D293" s="93"/>
      <c r="E293" s="94"/>
      <c r="F293" s="55" t="s">
        <v>15</v>
      </c>
      <c r="G293" s="56">
        <f>H293+I293+J293+K293+L293</f>
        <v>369955736.46</v>
      </c>
      <c r="H293" s="56">
        <f t="shared" si="84"/>
        <v>20422134</v>
      </c>
      <c r="I293" s="56">
        <f t="shared" si="84"/>
        <v>65977614.45999999</v>
      </c>
      <c r="J293" s="56">
        <f t="shared" si="84"/>
        <v>173930868</v>
      </c>
      <c r="K293" s="56">
        <f t="shared" si="84"/>
        <v>62368650</v>
      </c>
      <c r="L293" s="56">
        <f t="shared" si="84"/>
        <v>47256470</v>
      </c>
      <c r="M293" s="70"/>
    </row>
    <row r="294" spans="9:12" ht="16.5">
      <c r="I294" s="48">
        <f>'[4]остатки средств в ФК_9'!$R$101-1600000</f>
        <v>1061957868.36</v>
      </c>
      <c r="J294" s="48" t="e">
        <f>#REF!</f>
        <v>#REF!</v>
      </c>
      <c r="K294" s="48">
        <f>'[7]СРБ на план. период_1'!$T$80</f>
        <v>1069134834.1</v>
      </c>
      <c r="L294" s="48">
        <f>'[7]СРБ на план. период_1'!$U$80</f>
        <v>1056420748.03</v>
      </c>
    </row>
    <row r="295" spans="9:12" ht="16.5">
      <c r="I295" s="48">
        <f>I290-I294</f>
        <v>0</v>
      </c>
      <c r="J295" s="48" t="e">
        <f>J290-J294</f>
        <v>#REF!</v>
      </c>
      <c r="K295" s="48">
        <f>K290-K294</f>
        <v>0</v>
      </c>
      <c r="L295" s="48">
        <f>L290-L294</f>
        <v>0</v>
      </c>
    </row>
    <row r="296" spans="10:12" ht="16.5">
      <c r="J296" s="34"/>
      <c r="L296" s="34"/>
    </row>
    <row r="297" spans="1:41" s="21" customFormat="1" ht="16.5">
      <c r="A297" s="2"/>
      <c r="B297" s="18"/>
      <c r="C297" s="17"/>
      <c r="D297" s="2"/>
      <c r="E297" s="2"/>
      <c r="F297" s="2"/>
      <c r="I297" s="34"/>
      <c r="M297" s="3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0:12" ht="16.5">
      <c r="J302" s="34">
        <f>J28+J60+J116-2040.87</f>
        <v>46785972.00000001</v>
      </c>
      <c r="K302" s="34">
        <f>K28+K60+K116</f>
        <v>47525978</v>
      </c>
      <c r="L302" s="34">
        <f>L28+L60+L116</f>
        <v>52557201</v>
      </c>
    </row>
  </sheetData>
  <sheetProtection/>
  <mergeCells count="379">
    <mergeCell ref="M286:M289"/>
    <mergeCell ref="A290:A293"/>
    <mergeCell ref="B290:E293"/>
    <mergeCell ref="A82:A85"/>
    <mergeCell ref="B82:B85"/>
    <mergeCell ref="C82:C85"/>
    <mergeCell ref="D82:D85"/>
    <mergeCell ref="E82:E85"/>
    <mergeCell ref="M82:M85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  <mergeCell ref="M270:M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E254:E257"/>
    <mergeCell ref="E242:E245"/>
    <mergeCell ref="A246:A249"/>
    <mergeCell ref="B246:B249"/>
    <mergeCell ref="C246:C249"/>
    <mergeCell ref="D246:D249"/>
    <mergeCell ref="E246:E249"/>
    <mergeCell ref="A238:A241"/>
    <mergeCell ref="B238:B241"/>
    <mergeCell ref="C238:C241"/>
    <mergeCell ref="D238:D241"/>
    <mergeCell ref="E238:E241"/>
    <mergeCell ref="M238:M265"/>
    <mergeCell ref="A242:A245"/>
    <mergeCell ref="B242:B245"/>
    <mergeCell ref="C242:C245"/>
    <mergeCell ref="D242:D245"/>
    <mergeCell ref="A234:A237"/>
    <mergeCell ref="B234:B237"/>
    <mergeCell ref="C234:C237"/>
    <mergeCell ref="D234:D237"/>
    <mergeCell ref="E234:E237"/>
    <mergeCell ref="M234:M237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E230:E233"/>
    <mergeCell ref="E218:E221"/>
    <mergeCell ref="A222:A225"/>
    <mergeCell ref="B222:B225"/>
    <mergeCell ref="C222:C225"/>
    <mergeCell ref="D222:D225"/>
    <mergeCell ref="E222:E225"/>
    <mergeCell ref="A214:A217"/>
    <mergeCell ref="B214:B217"/>
    <mergeCell ref="C214:C217"/>
    <mergeCell ref="D214:D217"/>
    <mergeCell ref="E214:E217"/>
    <mergeCell ref="M214:M233"/>
    <mergeCell ref="A218:A221"/>
    <mergeCell ref="B218:B221"/>
    <mergeCell ref="C218:C221"/>
    <mergeCell ref="D218:D221"/>
    <mergeCell ref="A210:A213"/>
    <mergeCell ref="B210:B213"/>
    <mergeCell ref="C210:C213"/>
    <mergeCell ref="D210:D213"/>
    <mergeCell ref="E210:E213"/>
    <mergeCell ref="M210:M213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D178:D181"/>
    <mergeCell ref="E178:E181"/>
    <mergeCell ref="A182:A185"/>
    <mergeCell ref="B182:B185"/>
    <mergeCell ref="C182:C185"/>
    <mergeCell ref="D182:D185"/>
    <mergeCell ref="E182:E185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A170:A173"/>
    <mergeCell ref="B170:B173"/>
    <mergeCell ref="C170:C173"/>
    <mergeCell ref="D170:D173"/>
    <mergeCell ref="E170:E173"/>
    <mergeCell ref="M170:M173"/>
    <mergeCell ref="A166:A169"/>
    <mergeCell ref="B166:B169"/>
    <mergeCell ref="C166:C169"/>
    <mergeCell ref="D166:D169"/>
    <mergeCell ref="E166:E169"/>
    <mergeCell ref="M166:M169"/>
    <mergeCell ref="M158:M161"/>
    <mergeCell ref="A162:A165"/>
    <mergeCell ref="B162:B165"/>
    <mergeCell ref="C162:C165"/>
    <mergeCell ref="D162:D165"/>
    <mergeCell ref="E162:E165"/>
    <mergeCell ref="M162:M165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A150:A153"/>
    <mergeCell ref="B150:B153"/>
    <mergeCell ref="C150:C153"/>
    <mergeCell ref="D150:D153"/>
    <mergeCell ref="E150:E153"/>
    <mergeCell ref="M150:M153"/>
    <mergeCell ref="A146:A149"/>
    <mergeCell ref="B146:B149"/>
    <mergeCell ref="C146:C149"/>
    <mergeCell ref="D146:D149"/>
    <mergeCell ref="E146:E149"/>
    <mergeCell ref="M146:M149"/>
    <mergeCell ref="A142:A145"/>
    <mergeCell ref="B142:B145"/>
    <mergeCell ref="C142:C145"/>
    <mergeCell ref="D142:D145"/>
    <mergeCell ref="E142:E145"/>
    <mergeCell ref="M142:M145"/>
    <mergeCell ref="Y134:Y137"/>
    <mergeCell ref="A138:A141"/>
    <mergeCell ref="B138:B141"/>
    <mergeCell ref="C138:C141"/>
    <mergeCell ref="D138:D141"/>
    <mergeCell ref="E138:E141"/>
    <mergeCell ref="D130:D133"/>
    <mergeCell ref="E130:E133"/>
    <mergeCell ref="A134:A137"/>
    <mergeCell ref="B134:B137"/>
    <mergeCell ref="C134:C137"/>
    <mergeCell ref="D134:D137"/>
    <mergeCell ref="E134:E137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M98:M121"/>
    <mergeCell ref="A102:A105"/>
    <mergeCell ref="B102:B105"/>
    <mergeCell ref="C102:C105"/>
    <mergeCell ref="D102:D105"/>
    <mergeCell ref="M86:M97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B78:B81"/>
    <mergeCell ref="C78:C81"/>
    <mergeCell ref="D78:D81"/>
    <mergeCell ref="E78:E81"/>
    <mergeCell ref="A86:A89"/>
    <mergeCell ref="B86:B89"/>
    <mergeCell ref="C86:C89"/>
    <mergeCell ref="D86:D89"/>
    <mergeCell ref="E86:E8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M34:M81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M14:M33"/>
    <mergeCell ref="A18:A21"/>
    <mergeCell ref="B18:B21"/>
    <mergeCell ref="C18:C21"/>
    <mergeCell ref="D18:D21"/>
    <mergeCell ref="G7:L7"/>
    <mergeCell ref="M7:M8"/>
    <mergeCell ref="A10:A13"/>
    <mergeCell ref="B10:B13"/>
    <mergeCell ref="C10:C13"/>
    <mergeCell ref="D10:D13"/>
    <mergeCell ref="E10:E13"/>
    <mergeCell ref="M10:M13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43" r:id="rId3"/>
  <rowBreaks count="3" manualBreakCount="3">
    <brk id="57" max="12" man="1"/>
    <brk id="121" max="12" man="1"/>
    <brk id="241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2"/>
  <sheetViews>
    <sheetView view="pageBreakPreview" zoomScale="80" zoomScaleSheetLayoutView="80" zoomScalePageLayoutView="0" workbookViewId="0" topLeftCell="A1">
      <pane xSplit="7" ySplit="8" topLeftCell="H17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2" sqref="M2"/>
    </sheetView>
  </sheetViews>
  <sheetFormatPr defaultColWidth="9.140625" defaultRowHeight="12.75" outlineLevelRow="1"/>
  <cols>
    <col min="1" max="1" width="11.28125" style="2" customWidth="1"/>
    <col min="2" max="2" width="52.421875" style="18" customWidth="1"/>
    <col min="3" max="3" width="14.28125" style="17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1" customWidth="1"/>
    <col min="13" max="13" width="65.7109375" style="31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76" t="s">
        <v>209</v>
      </c>
      <c r="L1" s="176"/>
      <c r="M1" s="176"/>
      <c r="N1" s="3"/>
      <c r="O1" s="3"/>
      <c r="P1" s="3"/>
    </row>
    <row r="2" spans="1:14" ht="16.5">
      <c r="A2" s="1"/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22"/>
      <c r="M2" s="28" t="s">
        <v>210</v>
      </c>
      <c r="N2" s="3"/>
    </row>
    <row r="3" spans="1:13" ht="16.5">
      <c r="A3" s="1"/>
      <c r="B3" s="177" t="s">
        <v>2</v>
      </c>
      <c r="C3" s="177"/>
      <c r="D3" s="177"/>
      <c r="E3" s="177"/>
      <c r="F3" s="177"/>
      <c r="G3" s="177"/>
      <c r="H3" s="177"/>
      <c r="I3" s="177"/>
      <c r="J3" s="177"/>
      <c r="K3" s="177"/>
      <c r="L3" s="23"/>
      <c r="M3" s="28" t="s">
        <v>118</v>
      </c>
    </row>
    <row r="4" spans="1:13" ht="15.75" customHeight="1">
      <c r="A4" s="1"/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7"/>
      <c r="L4" s="24"/>
      <c r="M4" s="29"/>
    </row>
    <row r="5" spans="1:13" ht="16.5">
      <c r="A5" s="1"/>
      <c r="H5" s="34"/>
      <c r="I5" s="38">
        <f>I20+I40+I44+I48+I52+I96+I104+I120</f>
        <v>628554600</v>
      </c>
      <c r="J5" s="73">
        <f>J20+J40+J44+J48+J52+J96+J104+J120</f>
        <v>628988200</v>
      </c>
      <c r="K5" s="73">
        <f>K20+K40+K44+K48+K52+K96+K104+K120</f>
        <v>640756000</v>
      </c>
      <c r="L5" s="73">
        <f>L20+L40+L44+L48+L52+L96+L104+L120</f>
        <v>661037500</v>
      </c>
      <c r="M5" s="74" t="s">
        <v>199</v>
      </c>
    </row>
    <row r="6" spans="1:13" ht="16.5">
      <c r="A6" s="1"/>
      <c r="H6" s="34"/>
      <c r="I6" s="38"/>
      <c r="J6" s="73">
        <f>J28+J60+J116-2040.87</f>
        <v>46785972.00000001</v>
      </c>
      <c r="K6" s="73">
        <f>K28+K60+K116</f>
        <v>47525978</v>
      </c>
      <c r="L6" s="73">
        <f>L28+L60+L116</f>
        <v>52557201</v>
      </c>
      <c r="M6" s="74" t="s">
        <v>200</v>
      </c>
    </row>
    <row r="7" spans="1:13" s="32" customFormat="1" ht="21.75" customHeight="1">
      <c r="A7" s="168" t="s">
        <v>3</v>
      </c>
      <c r="B7" s="168" t="s">
        <v>4</v>
      </c>
      <c r="C7" s="168" t="s">
        <v>5</v>
      </c>
      <c r="D7" s="168" t="s">
        <v>121</v>
      </c>
      <c r="E7" s="168" t="s">
        <v>6</v>
      </c>
      <c r="F7" s="168" t="s">
        <v>7</v>
      </c>
      <c r="G7" s="165" t="s">
        <v>8</v>
      </c>
      <c r="H7" s="166"/>
      <c r="I7" s="166"/>
      <c r="J7" s="166"/>
      <c r="K7" s="166"/>
      <c r="L7" s="167"/>
      <c r="M7" s="168" t="s">
        <v>9</v>
      </c>
    </row>
    <row r="8" spans="1:13" s="32" customFormat="1" ht="21.75" customHeight="1">
      <c r="A8" s="169"/>
      <c r="B8" s="169"/>
      <c r="C8" s="169"/>
      <c r="D8" s="169"/>
      <c r="E8" s="169"/>
      <c r="F8" s="169"/>
      <c r="G8" s="20" t="s">
        <v>10</v>
      </c>
      <c r="H8" s="19">
        <v>2020</v>
      </c>
      <c r="I8" s="33">
        <v>2021</v>
      </c>
      <c r="J8" s="19">
        <v>2022</v>
      </c>
      <c r="K8" s="19">
        <v>2023</v>
      </c>
      <c r="L8" s="19">
        <v>2024</v>
      </c>
      <c r="M8" s="169"/>
    </row>
    <row r="9" spans="1:13" s="17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5">
        <v>6</v>
      </c>
      <c r="H9" s="25">
        <v>9</v>
      </c>
      <c r="I9" s="25">
        <v>10</v>
      </c>
      <c r="J9" s="25">
        <v>10</v>
      </c>
      <c r="K9" s="25">
        <v>9</v>
      </c>
      <c r="L9" s="25">
        <v>10</v>
      </c>
      <c r="M9" s="30">
        <v>11</v>
      </c>
    </row>
    <row r="10" spans="1:14" ht="30.75" customHeight="1">
      <c r="A10" s="107" t="s">
        <v>11</v>
      </c>
      <c r="B10" s="170" t="s">
        <v>146</v>
      </c>
      <c r="C10" s="113" t="s">
        <v>125</v>
      </c>
      <c r="D10" s="134" t="s">
        <v>122</v>
      </c>
      <c r="E10" s="113" t="s">
        <v>106</v>
      </c>
      <c r="F10" s="39" t="s">
        <v>12</v>
      </c>
      <c r="G10" s="40">
        <f aca="true" t="shared" si="0" ref="G10:L10">G11+G12+G13</f>
        <v>4949340798.05</v>
      </c>
      <c r="H10" s="40">
        <f t="shared" si="0"/>
        <v>914744851.35</v>
      </c>
      <c r="I10" s="40">
        <f t="shared" si="0"/>
        <v>1015842407.56</v>
      </c>
      <c r="J10" s="40">
        <f t="shared" si="0"/>
        <v>992744969.6000001</v>
      </c>
      <c r="K10" s="40">
        <f t="shared" si="0"/>
        <v>1001464358.07</v>
      </c>
      <c r="L10" s="40">
        <f t="shared" si="0"/>
        <v>1024544211.47</v>
      </c>
      <c r="M10" s="173"/>
      <c r="N10" s="3"/>
    </row>
    <row r="11" spans="1:14" ht="30.75" customHeight="1">
      <c r="A11" s="108"/>
      <c r="B11" s="171"/>
      <c r="C11" s="114"/>
      <c r="D11" s="139"/>
      <c r="E11" s="114"/>
      <c r="F11" s="39" t="s">
        <v>13</v>
      </c>
      <c r="G11" s="40">
        <f>H11+I11+J11+K11+L11</f>
        <v>1245473998.49</v>
      </c>
      <c r="H11" s="41">
        <f aca="true" t="shared" si="1" ref="H11:L13">H15+H35+H87+H99+H123</f>
        <v>231636913.84</v>
      </c>
      <c r="I11" s="41">
        <f t="shared" si="1"/>
        <v>246634835.64</v>
      </c>
      <c r="J11" s="41">
        <f t="shared" si="1"/>
        <v>260027476.08</v>
      </c>
      <c r="K11" s="41">
        <f t="shared" si="1"/>
        <v>255520105.61</v>
      </c>
      <c r="L11" s="41">
        <f t="shared" si="1"/>
        <v>251654667.32</v>
      </c>
      <c r="M11" s="174"/>
      <c r="N11" s="3"/>
    </row>
    <row r="12" spans="1:14" ht="30.75" customHeight="1">
      <c r="A12" s="108"/>
      <c r="B12" s="171"/>
      <c r="C12" s="114"/>
      <c r="D12" s="139"/>
      <c r="E12" s="114"/>
      <c r="F12" s="39" t="s">
        <v>14</v>
      </c>
      <c r="G12" s="40">
        <f>H12+I12+J12+K12+L12</f>
        <v>3477626381.1</v>
      </c>
      <c r="H12" s="41">
        <f t="shared" si="1"/>
        <v>662685803.51</v>
      </c>
      <c r="I12" s="41">
        <f t="shared" si="1"/>
        <v>703229957.4599999</v>
      </c>
      <c r="J12" s="41">
        <f t="shared" si="1"/>
        <v>686180443.5200001</v>
      </c>
      <c r="K12" s="41">
        <f t="shared" si="1"/>
        <v>699897102.46</v>
      </c>
      <c r="L12" s="41">
        <f t="shared" si="1"/>
        <v>725633074.15</v>
      </c>
      <c r="M12" s="174"/>
      <c r="N12" s="3"/>
    </row>
    <row r="13" spans="1:14" ht="30.75" customHeight="1">
      <c r="A13" s="109"/>
      <c r="B13" s="172"/>
      <c r="C13" s="115"/>
      <c r="D13" s="140"/>
      <c r="E13" s="115"/>
      <c r="F13" s="39" t="s">
        <v>15</v>
      </c>
      <c r="G13" s="40">
        <f>H13+I13+J13+K13+L13</f>
        <v>226240418.45999998</v>
      </c>
      <c r="H13" s="41">
        <f t="shared" si="1"/>
        <v>20422134</v>
      </c>
      <c r="I13" s="41">
        <f t="shared" si="1"/>
        <v>65977614.45999999</v>
      </c>
      <c r="J13" s="41">
        <f t="shared" si="1"/>
        <v>46537050</v>
      </c>
      <c r="K13" s="41">
        <f t="shared" si="1"/>
        <v>46047150</v>
      </c>
      <c r="L13" s="41">
        <f t="shared" si="1"/>
        <v>47256470</v>
      </c>
      <c r="M13" s="175"/>
      <c r="N13" s="3"/>
    </row>
    <row r="14" spans="1:14" ht="21.75" customHeight="1">
      <c r="A14" s="160" t="s">
        <v>16</v>
      </c>
      <c r="B14" s="162" t="s">
        <v>17</v>
      </c>
      <c r="C14" s="151" t="s">
        <v>125</v>
      </c>
      <c r="D14" s="154" t="s">
        <v>122</v>
      </c>
      <c r="E14" s="151" t="s">
        <v>106</v>
      </c>
      <c r="F14" s="42" t="s">
        <v>12</v>
      </c>
      <c r="G14" s="43">
        <f aca="true" t="shared" si="2" ref="G14:L14">G15+G16+G17</f>
        <v>1591486910.24</v>
      </c>
      <c r="H14" s="43">
        <f t="shared" si="2"/>
        <v>300410153.05</v>
      </c>
      <c r="I14" s="43">
        <f t="shared" si="2"/>
        <v>317186259.79</v>
      </c>
      <c r="J14" s="43">
        <f t="shared" si="2"/>
        <v>316491726.38</v>
      </c>
      <c r="K14" s="43">
        <f t="shared" si="2"/>
        <v>324356091.39</v>
      </c>
      <c r="L14" s="43">
        <f t="shared" si="2"/>
        <v>333042679.63</v>
      </c>
      <c r="M14" s="81" t="s">
        <v>153</v>
      </c>
      <c r="N14" s="3"/>
    </row>
    <row r="15" spans="1:14" ht="21.75" customHeight="1">
      <c r="A15" s="161"/>
      <c r="B15" s="163"/>
      <c r="C15" s="152"/>
      <c r="D15" s="155"/>
      <c r="E15" s="152"/>
      <c r="F15" s="42" t="s">
        <v>13</v>
      </c>
      <c r="G15" s="43">
        <f>H15+I15+J15+K15+L15</f>
        <v>494926723.07</v>
      </c>
      <c r="H15" s="44">
        <f aca="true" t="shared" si="3" ref="H15:L17">H19+H23+H27+H31</f>
        <v>96147672.62</v>
      </c>
      <c r="I15" s="44">
        <f t="shared" si="3"/>
        <v>99727111.45</v>
      </c>
      <c r="J15" s="44">
        <f>J19+J23+J27+J31</f>
        <v>100148170</v>
      </c>
      <c r="K15" s="44">
        <f t="shared" si="3"/>
        <v>99281183</v>
      </c>
      <c r="L15" s="44">
        <f t="shared" si="3"/>
        <v>99622586</v>
      </c>
      <c r="M15" s="82"/>
      <c r="N15" s="3"/>
    </row>
    <row r="16" spans="1:14" ht="21.75" customHeight="1">
      <c r="A16" s="161"/>
      <c r="B16" s="163"/>
      <c r="C16" s="152"/>
      <c r="D16" s="155"/>
      <c r="E16" s="152"/>
      <c r="F16" s="42" t="s">
        <v>14</v>
      </c>
      <c r="G16" s="43">
        <f>H16+I16+J16+K16+L16</f>
        <v>1096560187.17</v>
      </c>
      <c r="H16" s="44">
        <f t="shared" si="3"/>
        <v>204262480.43</v>
      </c>
      <c r="I16" s="44">
        <f t="shared" si="3"/>
        <v>217459148.34</v>
      </c>
      <c r="J16" s="44">
        <f>J20+J24+J28+J32</f>
        <v>216343556.38</v>
      </c>
      <c r="K16" s="44">
        <f t="shared" si="3"/>
        <v>225074908.39</v>
      </c>
      <c r="L16" s="44">
        <f t="shared" si="3"/>
        <v>233420093.63</v>
      </c>
      <c r="M16" s="82"/>
      <c r="N16" s="3"/>
    </row>
    <row r="17" spans="1:14" ht="21.75" customHeight="1">
      <c r="A17" s="161"/>
      <c r="B17" s="163"/>
      <c r="C17" s="152"/>
      <c r="D17" s="156"/>
      <c r="E17" s="152"/>
      <c r="F17" s="42" t="s">
        <v>15</v>
      </c>
      <c r="G17" s="43">
        <f>H17+I17+J17+K17+L17</f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  <c r="L17" s="44">
        <f t="shared" si="3"/>
        <v>0</v>
      </c>
      <c r="M17" s="82"/>
      <c r="N17" s="3"/>
    </row>
    <row r="18" spans="1:14" ht="21.75" customHeight="1">
      <c r="A18" s="164" t="s">
        <v>18</v>
      </c>
      <c r="B18" s="142" t="s">
        <v>19</v>
      </c>
      <c r="C18" s="101" t="s">
        <v>125</v>
      </c>
      <c r="D18" s="103" t="s">
        <v>122</v>
      </c>
      <c r="E18" s="101" t="s">
        <v>106</v>
      </c>
      <c r="F18" s="16" t="s">
        <v>12</v>
      </c>
      <c r="G18" s="26">
        <f aca="true" t="shared" si="4" ref="G18:L18">G19+G20+G21</f>
        <v>1456331905.77</v>
      </c>
      <c r="H18" s="26">
        <f t="shared" si="4"/>
        <v>271391628.05</v>
      </c>
      <c r="I18" s="26">
        <f t="shared" si="4"/>
        <v>286733835.72</v>
      </c>
      <c r="J18" s="26">
        <f t="shared" si="4"/>
        <v>292765935</v>
      </c>
      <c r="K18" s="26">
        <f t="shared" si="4"/>
        <v>299447900</v>
      </c>
      <c r="L18" s="26">
        <f t="shared" si="4"/>
        <v>305992607</v>
      </c>
      <c r="M18" s="82"/>
      <c r="N18" s="3"/>
    </row>
    <row r="19" spans="1:14" ht="21.75" customHeight="1">
      <c r="A19" s="117"/>
      <c r="B19" s="143"/>
      <c r="C19" s="102"/>
      <c r="D19" s="104"/>
      <c r="E19" s="102"/>
      <c r="F19" s="16" t="s">
        <v>13</v>
      </c>
      <c r="G19" s="26">
        <f>H19+I19+J19+K19+L19</f>
        <v>490889822.84000003</v>
      </c>
      <c r="H19" s="26">
        <v>95367218.62</v>
      </c>
      <c r="I19" s="26">
        <f>98500729.44+251771.78</f>
        <v>98752501.22</v>
      </c>
      <c r="J19" s="26">
        <f>99927242-500000</f>
        <v>99427242</v>
      </c>
      <c r="K19" s="26">
        <v>98500729</v>
      </c>
      <c r="L19" s="26">
        <v>98842132</v>
      </c>
      <c r="M19" s="82"/>
      <c r="N19" s="3"/>
    </row>
    <row r="20" spans="1:14" ht="21.75" customHeight="1">
      <c r="A20" s="117"/>
      <c r="B20" s="143"/>
      <c r="C20" s="102"/>
      <c r="D20" s="104"/>
      <c r="E20" s="102"/>
      <c r="F20" s="16" t="s">
        <v>14</v>
      </c>
      <c r="G20" s="26">
        <f>H20+I20+J20+K20+L20</f>
        <v>965442082.9300001</v>
      </c>
      <c r="H20" s="26">
        <f>176152309.43-127900</f>
        <v>176024409.43</v>
      </c>
      <c r="I20" s="26">
        <f>188109234.5-127900</f>
        <v>187981334.5</v>
      </c>
      <c r="J20" s="26">
        <f>193465907-127214</f>
        <v>193338693</v>
      </c>
      <c r="K20" s="26">
        <f>201074385-127214</f>
        <v>200947171</v>
      </c>
      <c r="L20" s="26">
        <f>207277689-127214</f>
        <v>207150475</v>
      </c>
      <c r="M20" s="82"/>
      <c r="N20" s="3"/>
    </row>
    <row r="21" spans="1:14" ht="21.75" customHeight="1">
      <c r="A21" s="117"/>
      <c r="B21" s="143"/>
      <c r="C21" s="102"/>
      <c r="D21" s="105"/>
      <c r="E21" s="102"/>
      <c r="F21" s="16" t="s">
        <v>15</v>
      </c>
      <c r="G21" s="26">
        <f>H21+I21+J21+K21+L21</f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82"/>
      <c r="N21" s="3"/>
    </row>
    <row r="22" spans="1:14" ht="21.75" customHeight="1">
      <c r="A22" s="116" t="s">
        <v>20</v>
      </c>
      <c r="B22" s="142" t="s">
        <v>21</v>
      </c>
      <c r="C22" s="101" t="s">
        <v>125</v>
      </c>
      <c r="D22" s="103" t="s">
        <v>122</v>
      </c>
      <c r="E22" s="101" t="s">
        <v>106</v>
      </c>
      <c r="F22" s="16" t="s">
        <v>12</v>
      </c>
      <c r="G22" s="26">
        <f aca="true" t="shared" si="5" ref="G22:L22">G23+G24+G25</f>
        <v>4036900.23</v>
      </c>
      <c r="H22" s="26">
        <f t="shared" si="5"/>
        <v>780454</v>
      </c>
      <c r="I22" s="26">
        <f t="shared" si="5"/>
        <v>974610.2300000001</v>
      </c>
      <c r="J22" s="26">
        <f t="shared" si="5"/>
        <v>720928</v>
      </c>
      <c r="K22" s="26">
        <f t="shared" si="5"/>
        <v>780454</v>
      </c>
      <c r="L22" s="26">
        <f t="shared" si="5"/>
        <v>780454</v>
      </c>
      <c r="M22" s="82"/>
      <c r="N22" s="3"/>
    </row>
    <row r="23" spans="1:17" ht="21.75" customHeight="1">
      <c r="A23" s="117"/>
      <c r="B23" s="143"/>
      <c r="C23" s="102"/>
      <c r="D23" s="104"/>
      <c r="E23" s="102"/>
      <c r="F23" s="16" t="s">
        <v>13</v>
      </c>
      <c r="G23" s="26">
        <f>H23+I23+J23+K23+L23</f>
        <v>4036900.23</v>
      </c>
      <c r="H23" s="26">
        <v>780454</v>
      </c>
      <c r="I23" s="26">
        <f>858767.75+78575.57+37266.91</f>
        <v>974610.2300000001</v>
      </c>
      <c r="J23" s="26">
        <v>720928</v>
      </c>
      <c r="K23" s="26">
        <v>780454</v>
      </c>
      <c r="L23" s="26">
        <v>780454</v>
      </c>
      <c r="M23" s="82"/>
      <c r="N23" s="3"/>
      <c r="Q23" s="3"/>
    </row>
    <row r="24" spans="1:14" ht="21.75" customHeight="1">
      <c r="A24" s="117"/>
      <c r="B24" s="143"/>
      <c r="C24" s="102"/>
      <c r="D24" s="104"/>
      <c r="E24" s="102"/>
      <c r="F24" s="16" t="s">
        <v>14</v>
      </c>
      <c r="G24" s="26">
        <f>H24+I24+J24+K24+L24</f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82"/>
      <c r="N24" s="3"/>
    </row>
    <row r="25" spans="1:14" ht="21.75" customHeight="1">
      <c r="A25" s="118"/>
      <c r="B25" s="144"/>
      <c r="C25" s="102"/>
      <c r="D25" s="105"/>
      <c r="E25" s="106"/>
      <c r="F25" s="16" t="s">
        <v>15</v>
      </c>
      <c r="G25" s="26">
        <f>H25+I25+J25+K25+L25</f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82"/>
      <c r="N25" s="3"/>
    </row>
    <row r="26" spans="1:14" ht="21.75" customHeight="1">
      <c r="A26" s="116" t="s">
        <v>22</v>
      </c>
      <c r="B26" s="142" t="s">
        <v>23</v>
      </c>
      <c r="C26" s="101" t="s">
        <v>125</v>
      </c>
      <c r="D26" s="103" t="s">
        <v>122</v>
      </c>
      <c r="E26" s="101" t="s">
        <v>106</v>
      </c>
      <c r="F26" s="16" t="s">
        <v>12</v>
      </c>
      <c r="G26" s="26">
        <f aca="true" t="shared" si="6" ref="G26:L26">G27+G28+G29</f>
        <v>88014973.84</v>
      </c>
      <c r="H26" s="26">
        <f t="shared" si="6"/>
        <v>18787671</v>
      </c>
      <c r="I26" s="26">
        <f t="shared" si="6"/>
        <v>19609249.84</v>
      </c>
      <c r="J26" s="26">
        <f t="shared" si="6"/>
        <v>15678454</v>
      </c>
      <c r="K26" s="26">
        <f t="shared" si="6"/>
        <v>16087000</v>
      </c>
      <c r="L26" s="26">
        <f t="shared" si="6"/>
        <v>17852599</v>
      </c>
      <c r="M26" s="82"/>
      <c r="N26" s="3"/>
    </row>
    <row r="27" spans="1:14" ht="21.75" customHeight="1">
      <c r="A27" s="117"/>
      <c r="B27" s="143"/>
      <c r="C27" s="102"/>
      <c r="D27" s="104"/>
      <c r="E27" s="102"/>
      <c r="F27" s="16" t="s">
        <v>13</v>
      </c>
      <c r="G27" s="26">
        <f>H27+I27+J27+K27+L27</f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82"/>
      <c r="N27" s="3"/>
    </row>
    <row r="28" spans="1:14" ht="21.75" customHeight="1">
      <c r="A28" s="117"/>
      <c r="B28" s="143"/>
      <c r="C28" s="102"/>
      <c r="D28" s="104"/>
      <c r="E28" s="102"/>
      <c r="F28" s="16" t="s">
        <v>14</v>
      </c>
      <c r="G28" s="26">
        <f>H28+I28+J28+K28+L28</f>
        <v>88014973.84</v>
      </c>
      <c r="H28" s="26">
        <v>18787671</v>
      </c>
      <c r="I28" s="26">
        <v>19609249.84</v>
      </c>
      <c r="J28" s="26">
        <v>15678454</v>
      </c>
      <c r="K28" s="26">
        <v>16087000</v>
      </c>
      <c r="L28" s="26">
        <v>17852599</v>
      </c>
      <c r="M28" s="82"/>
      <c r="N28" s="3"/>
    </row>
    <row r="29" spans="1:15" ht="21.75" customHeight="1">
      <c r="A29" s="118"/>
      <c r="B29" s="144"/>
      <c r="C29" s="102"/>
      <c r="D29" s="105"/>
      <c r="E29" s="106"/>
      <c r="F29" s="16" t="s">
        <v>15</v>
      </c>
      <c r="G29" s="26">
        <f>H29+I29+J29+K29+L29</f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82"/>
      <c r="O29" s="3"/>
    </row>
    <row r="30" spans="1:14" ht="21.75" customHeight="1">
      <c r="A30" s="116" t="s">
        <v>107</v>
      </c>
      <c r="B30" s="142" t="s">
        <v>108</v>
      </c>
      <c r="C30" s="101" t="s">
        <v>125</v>
      </c>
      <c r="D30" s="103" t="s">
        <v>122</v>
      </c>
      <c r="E30" s="101" t="s">
        <v>106</v>
      </c>
      <c r="F30" s="16" t="s">
        <v>12</v>
      </c>
      <c r="G30" s="26">
        <f aca="true" t="shared" si="7" ref="G30:L30">G31+G32+G33</f>
        <v>43103130.4</v>
      </c>
      <c r="H30" s="26">
        <f t="shared" si="7"/>
        <v>9450400</v>
      </c>
      <c r="I30" s="26">
        <f t="shared" si="7"/>
        <v>9868564</v>
      </c>
      <c r="J30" s="26">
        <f t="shared" si="7"/>
        <v>7326409.38</v>
      </c>
      <c r="K30" s="26">
        <f t="shared" si="7"/>
        <v>8040737.39</v>
      </c>
      <c r="L30" s="26">
        <f t="shared" si="7"/>
        <v>8417019.63</v>
      </c>
      <c r="M30" s="82"/>
      <c r="N30" s="3"/>
    </row>
    <row r="31" spans="1:13" ht="21.75" customHeight="1">
      <c r="A31" s="117"/>
      <c r="B31" s="143"/>
      <c r="C31" s="102"/>
      <c r="D31" s="104"/>
      <c r="E31" s="102"/>
      <c r="F31" s="16" t="s">
        <v>13</v>
      </c>
      <c r="G31" s="26">
        <f>H31+I31+J31+K31+L31</f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82"/>
    </row>
    <row r="32" spans="1:13" ht="21.75" customHeight="1">
      <c r="A32" s="117"/>
      <c r="B32" s="143"/>
      <c r="C32" s="102"/>
      <c r="D32" s="104"/>
      <c r="E32" s="102"/>
      <c r="F32" s="16" t="s">
        <v>14</v>
      </c>
      <c r="G32" s="26">
        <f>H32+I32+J32+K32+L32</f>
        <v>43103130.4</v>
      </c>
      <c r="H32" s="26">
        <v>9450400</v>
      </c>
      <c r="I32" s="26">
        <v>9868564</v>
      </c>
      <c r="J32" s="26">
        <v>7326409.38</v>
      </c>
      <c r="K32" s="26">
        <v>8040737.39</v>
      </c>
      <c r="L32" s="26">
        <v>8417019.63</v>
      </c>
      <c r="M32" s="82"/>
    </row>
    <row r="33" spans="1:15" ht="21.75" customHeight="1">
      <c r="A33" s="118"/>
      <c r="B33" s="144"/>
      <c r="C33" s="102"/>
      <c r="D33" s="105"/>
      <c r="E33" s="106"/>
      <c r="F33" s="16" t="s">
        <v>15</v>
      </c>
      <c r="G33" s="26">
        <f>H33+I33+J33+K33+L33</f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122"/>
      <c r="O33" s="3"/>
    </row>
    <row r="34" spans="1:13" ht="21.75" customHeight="1">
      <c r="A34" s="145" t="s">
        <v>24</v>
      </c>
      <c r="B34" s="148" t="s">
        <v>119</v>
      </c>
      <c r="C34" s="151" t="s">
        <v>125</v>
      </c>
      <c r="D34" s="154" t="s">
        <v>123</v>
      </c>
      <c r="E34" s="151" t="s">
        <v>106</v>
      </c>
      <c r="F34" s="42" t="s">
        <v>12</v>
      </c>
      <c r="G34" s="43">
        <f aca="true" t="shared" si="8" ref="G34:L34">G35+G36+G37</f>
        <v>2722529053.76</v>
      </c>
      <c r="H34" s="43">
        <f t="shared" si="8"/>
        <v>504882065.72</v>
      </c>
      <c r="I34" s="43">
        <f t="shared" si="8"/>
        <v>556352473.55</v>
      </c>
      <c r="J34" s="43">
        <f t="shared" si="8"/>
        <v>549749775.49</v>
      </c>
      <c r="K34" s="43">
        <f t="shared" si="8"/>
        <v>548383678</v>
      </c>
      <c r="L34" s="43">
        <f t="shared" si="8"/>
        <v>563161061</v>
      </c>
      <c r="M34" s="81" t="s">
        <v>187</v>
      </c>
    </row>
    <row r="35" spans="1:41" ht="21.75" customHeight="1">
      <c r="A35" s="146"/>
      <c r="B35" s="149"/>
      <c r="C35" s="152"/>
      <c r="D35" s="155"/>
      <c r="E35" s="152"/>
      <c r="F35" s="42" t="s">
        <v>13</v>
      </c>
      <c r="G35" s="43">
        <f>H35+I35+J35+K35+L35</f>
        <v>624394989.83</v>
      </c>
      <c r="H35" s="43">
        <f>H39+H43+H47+H51+H55+H59+H63+H67+H79+H71+H83+H75</f>
        <v>113653893.15</v>
      </c>
      <c r="I35" s="43">
        <f>I39+I43+I47+I51+I55+I59+I63+I67+I79+I71+I83+I75</f>
        <v>123014167.74000001</v>
      </c>
      <c r="J35" s="43">
        <f>J39+J43+J47+J51+J55+J59+J63+J67+J79+J71+J83+J75</f>
        <v>131313332.94</v>
      </c>
      <c r="K35" s="43">
        <f>K39+K43+K47+K51+K55+K59+K63+K67+K79+K71+K83+K75</f>
        <v>128173629</v>
      </c>
      <c r="L35" s="43">
        <f>L39+L43+L47+L51+L55+L59+L63+L67+L79+L71+L83+L75</f>
        <v>128239967</v>
      </c>
      <c r="M35" s="82"/>
      <c r="AO35" s="3">
        <f>SUM('бюдж.росп. на 01.06'!$G$34:$AN$81)</f>
        <v>21778721039.360004</v>
      </c>
    </row>
    <row r="36" spans="1:41" ht="21.75" customHeight="1">
      <c r="A36" s="146"/>
      <c r="B36" s="149"/>
      <c r="C36" s="152"/>
      <c r="D36" s="155"/>
      <c r="E36" s="152"/>
      <c r="F36" s="42" t="s">
        <v>14</v>
      </c>
      <c r="G36" s="43">
        <f>H36+I36+J36+K36+L36</f>
        <v>1965052143.93</v>
      </c>
      <c r="H36" s="43">
        <f aca="true" t="shared" si="9" ref="H36:L37">H40+H44+H48+H52+H56+H60+H64+H68+H80+H72+H84+H76</f>
        <v>380646772.57</v>
      </c>
      <c r="I36" s="43">
        <f t="shared" si="9"/>
        <v>402558955.81</v>
      </c>
      <c r="J36" s="43">
        <f t="shared" si="9"/>
        <v>388157092.55</v>
      </c>
      <c r="K36" s="43">
        <f t="shared" si="9"/>
        <v>389930699</v>
      </c>
      <c r="L36" s="43">
        <f t="shared" si="9"/>
        <v>403758624</v>
      </c>
      <c r="M36" s="82"/>
      <c r="AO36" s="3">
        <f>SUM('бюдж.росп. на 01.06'!$G$34:$AN$81)</f>
        <v>21778721039.360004</v>
      </c>
    </row>
    <row r="37" spans="1:41" ht="21.75" customHeight="1">
      <c r="A37" s="147"/>
      <c r="B37" s="150"/>
      <c r="C37" s="153"/>
      <c r="D37" s="156"/>
      <c r="E37" s="153"/>
      <c r="F37" s="42" t="s">
        <v>15</v>
      </c>
      <c r="G37" s="43">
        <f>H37+I37+J37+K37+L37</f>
        <v>133081920</v>
      </c>
      <c r="H37" s="43">
        <f t="shared" si="9"/>
        <v>10581400</v>
      </c>
      <c r="I37" s="43">
        <f t="shared" si="9"/>
        <v>30779350</v>
      </c>
      <c r="J37" s="43">
        <f t="shared" si="9"/>
        <v>30279350</v>
      </c>
      <c r="K37" s="43">
        <f t="shared" si="9"/>
        <v>30279350</v>
      </c>
      <c r="L37" s="43">
        <f t="shared" si="9"/>
        <v>31162470</v>
      </c>
      <c r="M37" s="82"/>
      <c r="AO37" s="3">
        <f>SUM('бюдж.росп. на 01.06'!$G$34:$AN$81)</f>
        <v>21778721039.360004</v>
      </c>
    </row>
    <row r="38" spans="1:41" ht="21.75" customHeight="1">
      <c r="A38" s="116" t="s">
        <v>25</v>
      </c>
      <c r="B38" s="98" t="s">
        <v>26</v>
      </c>
      <c r="C38" s="101" t="s">
        <v>125</v>
      </c>
      <c r="D38" s="103" t="s">
        <v>123</v>
      </c>
      <c r="E38" s="101" t="s">
        <v>106</v>
      </c>
      <c r="F38" s="16" t="s">
        <v>12</v>
      </c>
      <c r="G38" s="26">
        <f aca="true" t="shared" si="10" ref="G38:L38">G39+G40+G41</f>
        <v>3250000</v>
      </c>
      <c r="H38" s="26">
        <f t="shared" si="10"/>
        <v>650000</v>
      </c>
      <c r="I38" s="26">
        <f t="shared" si="10"/>
        <v>650000</v>
      </c>
      <c r="J38" s="26">
        <f t="shared" si="10"/>
        <v>650000</v>
      </c>
      <c r="K38" s="26">
        <f t="shared" si="10"/>
        <v>650000</v>
      </c>
      <c r="L38" s="26">
        <f t="shared" si="10"/>
        <v>650000</v>
      </c>
      <c r="M38" s="82"/>
      <c r="AO38" s="3">
        <f>SUM('бюдж.росп. на 01.06'!$G$34:$AN$81)</f>
        <v>21778721039.360004</v>
      </c>
    </row>
    <row r="39" spans="1:41" ht="21.75" customHeight="1">
      <c r="A39" s="117"/>
      <c r="B39" s="99"/>
      <c r="C39" s="102"/>
      <c r="D39" s="104"/>
      <c r="E39" s="102"/>
      <c r="F39" s="16" t="s">
        <v>13</v>
      </c>
      <c r="G39" s="26">
        <f>H39+I39+J39+K39+L39</f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82"/>
      <c r="AO39" s="3">
        <f>SUM(AO35:AO38)</f>
        <v>87114884157.44002</v>
      </c>
    </row>
    <row r="40" spans="1:13" ht="21.75" customHeight="1">
      <c r="A40" s="117"/>
      <c r="B40" s="99"/>
      <c r="C40" s="102"/>
      <c r="D40" s="104"/>
      <c r="E40" s="102"/>
      <c r="F40" s="16" t="s">
        <v>14</v>
      </c>
      <c r="G40" s="26">
        <f>H40+I40+J40+K40+L40</f>
        <v>3250000</v>
      </c>
      <c r="H40" s="26">
        <v>650000</v>
      </c>
      <c r="I40" s="26">
        <v>650000</v>
      </c>
      <c r="J40" s="26">
        <v>650000</v>
      </c>
      <c r="K40" s="26">
        <v>650000</v>
      </c>
      <c r="L40" s="26">
        <v>650000</v>
      </c>
      <c r="M40" s="82"/>
    </row>
    <row r="41" spans="1:14" ht="21.75" customHeight="1">
      <c r="A41" s="118"/>
      <c r="B41" s="100"/>
      <c r="C41" s="102"/>
      <c r="D41" s="105"/>
      <c r="E41" s="106"/>
      <c r="F41" s="16" t="s">
        <v>15</v>
      </c>
      <c r="G41" s="26">
        <f>H41+I41+J41+K41+L41</f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82"/>
      <c r="N41" s="3"/>
    </row>
    <row r="42" spans="1:15" ht="21.75" customHeight="1">
      <c r="A42" s="116" t="s">
        <v>27</v>
      </c>
      <c r="B42" s="98" t="s">
        <v>28</v>
      </c>
      <c r="C42" s="101" t="s">
        <v>125</v>
      </c>
      <c r="D42" s="103" t="s">
        <v>123</v>
      </c>
      <c r="E42" s="101" t="s">
        <v>106</v>
      </c>
      <c r="F42" s="16" t="s">
        <v>12</v>
      </c>
      <c r="G42" s="26">
        <f aca="true" t="shared" si="11" ref="G42:L42">G43+G44+G45</f>
        <v>43621689</v>
      </c>
      <c r="H42" s="26">
        <f t="shared" si="11"/>
        <v>8744137</v>
      </c>
      <c r="I42" s="26">
        <f t="shared" si="11"/>
        <v>8816768</v>
      </c>
      <c r="J42" s="26">
        <f t="shared" si="11"/>
        <v>8686928</v>
      </c>
      <c r="K42" s="26">
        <f t="shared" si="11"/>
        <v>8686928</v>
      </c>
      <c r="L42" s="26">
        <f t="shared" si="11"/>
        <v>8686928</v>
      </c>
      <c r="M42" s="82"/>
      <c r="O42" s="3"/>
    </row>
    <row r="43" spans="1:13" ht="21.75" customHeight="1">
      <c r="A43" s="117"/>
      <c r="B43" s="99"/>
      <c r="C43" s="102"/>
      <c r="D43" s="104"/>
      <c r="E43" s="102"/>
      <c r="F43" s="16" t="s">
        <v>13</v>
      </c>
      <c r="G43" s="26">
        <f>H43+I43+J43+K43+L43</f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82"/>
    </row>
    <row r="44" spans="1:14" ht="21.75" customHeight="1">
      <c r="A44" s="117"/>
      <c r="B44" s="99"/>
      <c r="C44" s="102"/>
      <c r="D44" s="104"/>
      <c r="E44" s="102"/>
      <c r="F44" s="16" t="s">
        <v>14</v>
      </c>
      <c r="G44" s="26">
        <f>H44+I44+J44+K44+L44</f>
        <v>43621689</v>
      </c>
      <c r="H44" s="26">
        <v>8744137</v>
      </c>
      <c r="I44" s="26">
        <f>8816768</f>
        <v>8816768</v>
      </c>
      <c r="J44" s="26">
        <v>8686928</v>
      </c>
      <c r="K44" s="26">
        <v>8686928</v>
      </c>
      <c r="L44" s="26">
        <v>8686928</v>
      </c>
      <c r="M44" s="82"/>
      <c r="N44" s="6">
        <f>'[1]9 мес 2021'!$H$25-I44</f>
        <v>0</v>
      </c>
    </row>
    <row r="45" spans="1:14" ht="21.75" customHeight="1">
      <c r="A45" s="118"/>
      <c r="B45" s="100"/>
      <c r="C45" s="102"/>
      <c r="D45" s="105"/>
      <c r="E45" s="106"/>
      <c r="F45" s="16" t="s">
        <v>15</v>
      </c>
      <c r="G45" s="26">
        <f>H45+I45+J45+K45+L45</f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82"/>
      <c r="N45" s="7"/>
    </row>
    <row r="46" spans="1:14" ht="21.75" customHeight="1">
      <c r="A46" s="116" t="s">
        <v>29</v>
      </c>
      <c r="B46" s="98" t="s">
        <v>31</v>
      </c>
      <c r="C46" s="101" t="s">
        <v>125</v>
      </c>
      <c r="D46" s="103" t="s">
        <v>123</v>
      </c>
      <c r="E46" s="101" t="s">
        <v>106</v>
      </c>
      <c r="F46" s="16" t="s">
        <v>12</v>
      </c>
      <c r="G46" s="26">
        <f aca="true" t="shared" si="12" ref="G46:L46">G47+G48+G49</f>
        <v>9455460</v>
      </c>
      <c r="H46" s="26">
        <f t="shared" si="12"/>
        <v>1891092</v>
      </c>
      <c r="I46" s="26">
        <f t="shared" si="12"/>
        <v>1891092</v>
      </c>
      <c r="J46" s="26">
        <f t="shared" si="12"/>
        <v>1891092</v>
      </c>
      <c r="K46" s="26">
        <f t="shared" si="12"/>
        <v>1891092</v>
      </c>
      <c r="L46" s="26">
        <f t="shared" si="12"/>
        <v>1891092</v>
      </c>
      <c r="M46" s="82"/>
      <c r="N46" s="7"/>
    </row>
    <row r="47" spans="1:14" ht="21.75" customHeight="1">
      <c r="A47" s="117"/>
      <c r="B47" s="99"/>
      <c r="C47" s="102"/>
      <c r="D47" s="104"/>
      <c r="E47" s="102"/>
      <c r="F47" s="16" t="s">
        <v>13</v>
      </c>
      <c r="G47" s="26">
        <f>H47+I47+J47+K47+L47</f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82"/>
      <c r="N47" s="7"/>
    </row>
    <row r="48" spans="1:14" ht="21.75" customHeight="1">
      <c r="A48" s="117"/>
      <c r="B48" s="99"/>
      <c r="C48" s="102"/>
      <c r="D48" s="104"/>
      <c r="E48" s="102"/>
      <c r="F48" s="16" t="s">
        <v>14</v>
      </c>
      <c r="G48" s="26">
        <f>H48+I48+J48+K48+L48</f>
        <v>9455460</v>
      </c>
      <c r="H48" s="26">
        <v>1891092</v>
      </c>
      <c r="I48" s="26">
        <v>1891092</v>
      </c>
      <c r="J48" s="26">
        <v>1891092</v>
      </c>
      <c r="K48" s="26">
        <v>1891092</v>
      </c>
      <c r="L48" s="26">
        <v>1891092</v>
      </c>
      <c r="M48" s="82"/>
      <c r="N48" s="6"/>
    </row>
    <row r="49" spans="1:13" ht="21.75" customHeight="1">
      <c r="A49" s="118"/>
      <c r="B49" s="100"/>
      <c r="C49" s="102"/>
      <c r="D49" s="105"/>
      <c r="E49" s="106"/>
      <c r="F49" s="16" t="s">
        <v>15</v>
      </c>
      <c r="G49" s="26">
        <f>H49+I49+J49+K49+L49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82"/>
    </row>
    <row r="50" spans="1:14" ht="21.75" customHeight="1">
      <c r="A50" s="116" t="s">
        <v>30</v>
      </c>
      <c r="B50" s="142" t="s">
        <v>33</v>
      </c>
      <c r="C50" s="101" t="s">
        <v>125</v>
      </c>
      <c r="D50" s="103" t="s">
        <v>123</v>
      </c>
      <c r="E50" s="101" t="s">
        <v>106</v>
      </c>
      <c r="F50" s="16" t="s">
        <v>12</v>
      </c>
      <c r="G50" s="26">
        <f aca="true" t="shared" si="13" ref="G50:L50">G51+G52+G53</f>
        <v>2375197700.1099997</v>
      </c>
      <c r="H50" s="26">
        <f t="shared" si="13"/>
        <v>459249705.72</v>
      </c>
      <c r="I50" s="26">
        <f t="shared" si="13"/>
        <v>476025095.39</v>
      </c>
      <c r="J50" s="26">
        <f t="shared" si="13"/>
        <v>477384381</v>
      </c>
      <c r="K50" s="26">
        <f t="shared" si="13"/>
        <v>475658598</v>
      </c>
      <c r="L50" s="26">
        <f t="shared" si="13"/>
        <v>486879920</v>
      </c>
      <c r="M50" s="82"/>
      <c r="N50" s="3"/>
    </row>
    <row r="51" spans="1:15" ht="21.75" customHeight="1">
      <c r="A51" s="117"/>
      <c r="B51" s="143"/>
      <c r="C51" s="102"/>
      <c r="D51" s="104"/>
      <c r="E51" s="102"/>
      <c r="F51" s="16" t="s">
        <v>13</v>
      </c>
      <c r="G51" s="26">
        <f>H51+I51+J51+K51+L51</f>
        <v>611770473.04</v>
      </c>
      <c r="H51" s="26">
        <v>111005611.15</v>
      </c>
      <c r="I51" s="26">
        <f>112774045.47+5964026+1921557.81+130535.61</f>
        <v>120790164.89</v>
      </c>
      <c r="J51" s="26">
        <f>128679717+10000</f>
        <v>128689717</v>
      </c>
      <c r="K51" s="26">
        <v>125609321</v>
      </c>
      <c r="L51" s="26">
        <v>125675659</v>
      </c>
      <c r="M51" s="82"/>
      <c r="O51" s="8"/>
    </row>
    <row r="52" spans="1:14" ht="21.75" customHeight="1">
      <c r="A52" s="117"/>
      <c r="B52" s="143"/>
      <c r="C52" s="102"/>
      <c r="D52" s="104"/>
      <c r="E52" s="102"/>
      <c r="F52" s="16" t="s">
        <v>14</v>
      </c>
      <c r="G52" s="26">
        <f>H52+I52+J52+K52+L52</f>
        <v>1752845827.07</v>
      </c>
      <c r="H52" s="26">
        <f>349241007.57-293084-H40-H44-H48</f>
        <v>337662694.57</v>
      </c>
      <c r="I52" s="26">
        <f>366885874.5-I40-I48-I44-293084</f>
        <v>355234930.5</v>
      </c>
      <c r="J52" s="26">
        <f>347896678-301194-J40-J44-J48-J68+12327200</f>
        <v>348694664</v>
      </c>
      <c r="K52" s="26">
        <f>361578491-301194-K40-K44-K48-K68</f>
        <v>350049277</v>
      </c>
      <c r="L52" s="26">
        <f>372733475-301194-L40-L44-L48-L68</f>
        <v>361204261</v>
      </c>
      <c r="M52" s="82"/>
      <c r="N52" s="3"/>
    </row>
    <row r="53" spans="1:15" ht="21.75" customHeight="1">
      <c r="A53" s="118"/>
      <c r="B53" s="144"/>
      <c r="C53" s="102"/>
      <c r="D53" s="105"/>
      <c r="E53" s="106"/>
      <c r="F53" s="16" t="s">
        <v>15</v>
      </c>
      <c r="G53" s="26">
        <f>H53+I53+J53+K53+L53</f>
        <v>10581400</v>
      </c>
      <c r="H53" s="26">
        <v>10581400</v>
      </c>
      <c r="I53" s="26">
        <v>0</v>
      </c>
      <c r="J53" s="26">
        <v>0</v>
      </c>
      <c r="K53" s="26">
        <v>0</v>
      </c>
      <c r="L53" s="26">
        <v>0</v>
      </c>
      <c r="M53" s="82"/>
      <c r="N53" s="7"/>
      <c r="O53" s="9"/>
    </row>
    <row r="54" spans="1:13" ht="21.75" customHeight="1">
      <c r="A54" s="116" t="s">
        <v>32</v>
      </c>
      <c r="B54" s="142" t="s">
        <v>21</v>
      </c>
      <c r="C54" s="101" t="s">
        <v>125</v>
      </c>
      <c r="D54" s="103" t="s">
        <v>123</v>
      </c>
      <c r="E54" s="101" t="s">
        <v>106</v>
      </c>
      <c r="F54" s="16" t="s">
        <v>12</v>
      </c>
      <c r="G54" s="26">
        <f aca="true" t="shared" si="14" ref="G54:L54">G55+G56+G57</f>
        <v>5370117.65</v>
      </c>
      <c r="H54" s="26">
        <f t="shared" si="14"/>
        <v>1006307</v>
      </c>
      <c r="I54" s="26">
        <f t="shared" si="14"/>
        <v>1385373.84</v>
      </c>
      <c r="J54" s="26">
        <f t="shared" si="14"/>
        <v>965822.81</v>
      </c>
      <c r="K54" s="26">
        <f t="shared" si="14"/>
        <v>1006307</v>
      </c>
      <c r="L54" s="26">
        <f t="shared" si="14"/>
        <v>1006307</v>
      </c>
      <c r="M54" s="82"/>
    </row>
    <row r="55" spans="1:13" ht="21.75" customHeight="1">
      <c r="A55" s="117"/>
      <c r="B55" s="143"/>
      <c r="C55" s="102"/>
      <c r="D55" s="104"/>
      <c r="E55" s="102"/>
      <c r="F55" s="16" t="s">
        <v>13</v>
      </c>
      <c r="G55" s="26">
        <f>H55+I55+J55+K55+L55</f>
        <v>5370117.65</v>
      </c>
      <c r="H55" s="26">
        <v>1006307</v>
      </c>
      <c r="I55" s="26">
        <f>1199420.42+157723.37+28230.05</f>
        <v>1385373.84</v>
      </c>
      <c r="J55" s="26">
        <v>965822.81</v>
      </c>
      <c r="K55" s="26">
        <f>1006307</f>
        <v>1006307</v>
      </c>
      <c r="L55" s="26">
        <v>1006307</v>
      </c>
      <c r="M55" s="82"/>
    </row>
    <row r="56" spans="1:13" ht="21.75" customHeight="1">
      <c r="A56" s="117"/>
      <c r="B56" s="143"/>
      <c r="C56" s="102"/>
      <c r="D56" s="104"/>
      <c r="E56" s="102"/>
      <c r="F56" s="16" t="s">
        <v>14</v>
      </c>
      <c r="G56" s="26">
        <f>H56+I56+J56+K56+L56</f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82"/>
    </row>
    <row r="57" spans="1:13" ht="21.75" customHeight="1">
      <c r="A57" s="118"/>
      <c r="B57" s="144"/>
      <c r="C57" s="102"/>
      <c r="D57" s="105"/>
      <c r="E57" s="106"/>
      <c r="F57" s="16" t="s">
        <v>15</v>
      </c>
      <c r="G57" s="26">
        <f>H57+I57+J57+K57+L57</f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82"/>
    </row>
    <row r="58" spans="1:13" ht="21.75" customHeight="1">
      <c r="A58" s="116" t="s">
        <v>34</v>
      </c>
      <c r="B58" s="142" t="s">
        <v>23</v>
      </c>
      <c r="C58" s="101" t="s">
        <v>125</v>
      </c>
      <c r="D58" s="103" t="s">
        <v>123</v>
      </c>
      <c r="E58" s="101" t="s">
        <v>106</v>
      </c>
      <c r="F58" s="16" t="s">
        <v>12</v>
      </c>
      <c r="G58" s="26">
        <f aca="true" t="shared" si="15" ref="G58:L58">G59+G60+G61</f>
        <v>155985082.87</v>
      </c>
      <c r="H58" s="26">
        <f t="shared" si="15"/>
        <v>31798849</v>
      </c>
      <c r="I58" s="26">
        <f t="shared" si="15"/>
        <v>36091735.87</v>
      </c>
      <c r="J58" s="26">
        <f t="shared" si="15"/>
        <v>28221557</v>
      </c>
      <c r="K58" s="26">
        <f t="shared" si="15"/>
        <v>28600000</v>
      </c>
      <c r="L58" s="26">
        <f t="shared" si="15"/>
        <v>31272941</v>
      </c>
      <c r="M58" s="82"/>
    </row>
    <row r="59" spans="1:13" ht="21.75" customHeight="1">
      <c r="A59" s="117"/>
      <c r="B59" s="143"/>
      <c r="C59" s="102"/>
      <c r="D59" s="104"/>
      <c r="E59" s="102"/>
      <c r="F59" s="16" t="s">
        <v>13</v>
      </c>
      <c r="G59" s="26">
        <f>H59+I59+J59+K59+L59</f>
        <v>325362.69</v>
      </c>
      <c r="H59" s="26">
        <v>100000</v>
      </c>
      <c r="I59" s="26">
        <f>101833.11+23737.45</f>
        <v>125570.56</v>
      </c>
      <c r="J59" s="26">
        <v>99792.13</v>
      </c>
      <c r="K59" s="26">
        <v>0</v>
      </c>
      <c r="L59" s="26">
        <v>0</v>
      </c>
      <c r="M59" s="82"/>
    </row>
    <row r="60" spans="1:13" ht="21.75" customHeight="1">
      <c r="A60" s="117"/>
      <c r="B60" s="143"/>
      <c r="C60" s="102"/>
      <c r="D60" s="104"/>
      <c r="E60" s="102"/>
      <c r="F60" s="16" t="s">
        <v>14</v>
      </c>
      <c r="G60" s="26">
        <f>H60+I60+J60+K60+L60</f>
        <v>155659720.18</v>
      </c>
      <c r="H60" s="26">
        <v>31698849</v>
      </c>
      <c r="I60" s="26">
        <f>35963535.87+2629.44</f>
        <v>35966165.309999995</v>
      </c>
      <c r="J60" s="26">
        <f>28119724+2040.87</f>
        <v>28121764.87</v>
      </c>
      <c r="K60" s="26">
        <v>28600000</v>
      </c>
      <c r="L60" s="26">
        <v>31272941</v>
      </c>
      <c r="M60" s="82"/>
    </row>
    <row r="61" spans="1:13" ht="21.75" customHeight="1">
      <c r="A61" s="118"/>
      <c r="B61" s="144"/>
      <c r="C61" s="102"/>
      <c r="D61" s="105"/>
      <c r="E61" s="106"/>
      <c r="F61" s="16" t="s">
        <v>15</v>
      </c>
      <c r="G61" s="26">
        <f>H61+I61+J61+K61+L61</f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82"/>
    </row>
    <row r="62" spans="1:13" ht="21.75" customHeight="1">
      <c r="A62" s="116" t="s">
        <v>35</v>
      </c>
      <c r="B62" s="98" t="s">
        <v>37</v>
      </c>
      <c r="C62" s="101" t="s">
        <v>125</v>
      </c>
      <c r="D62" s="119" t="s">
        <v>124</v>
      </c>
      <c r="E62" s="101" t="s">
        <v>106</v>
      </c>
      <c r="F62" s="16" t="s">
        <v>12</v>
      </c>
      <c r="G62" s="26">
        <f aca="true" t="shared" si="16" ref="G62:L62">G63+G64+G65</f>
        <v>4800503.45</v>
      </c>
      <c r="H62" s="26">
        <f t="shared" si="16"/>
        <v>1481975</v>
      </c>
      <c r="I62" s="26">
        <f t="shared" si="16"/>
        <v>653058.45</v>
      </c>
      <c r="J62" s="26">
        <f t="shared" si="16"/>
        <v>888490</v>
      </c>
      <c r="K62" s="26">
        <f t="shared" si="16"/>
        <v>888490</v>
      </c>
      <c r="L62" s="26">
        <f t="shared" si="16"/>
        <v>888490</v>
      </c>
      <c r="M62" s="82"/>
    </row>
    <row r="63" spans="1:13" ht="21.75" customHeight="1">
      <c r="A63" s="117"/>
      <c r="B63" s="99"/>
      <c r="C63" s="102"/>
      <c r="D63" s="120"/>
      <c r="E63" s="102"/>
      <c r="F63" s="16" t="s">
        <v>13</v>
      </c>
      <c r="G63" s="26">
        <f>H63+I63+J63+K63+L63</f>
        <v>4800503.45</v>
      </c>
      <c r="H63" s="26">
        <v>1481975</v>
      </c>
      <c r="I63" s="26">
        <f>1481975-602271.91-226644.64</f>
        <v>653058.45</v>
      </c>
      <c r="J63" s="26">
        <v>888490</v>
      </c>
      <c r="K63" s="26">
        <v>888490</v>
      </c>
      <c r="L63" s="26">
        <v>888490</v>
      </c>
      <c r="M63" s="82"/>
    </row>
    <row r="64" spans="1:13" ht="21.75" customHeight="1">
      <c r="A64" s="117"/>
      <c r="B64" s="99"/>
      <c r="C64" s="102"/>
      <c r="D64" s="120"/>
      <c r="E64" s="102"/>
      <c r="F64" s="16" t="s">
        <v>14</v>
      </c>
      <c r="G64" s="26">
        <f>H64+I64+J64+K64+L64</f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82"/>
    </row>
    <row r="65" spans="1:13" ht="21.75" customHeight="1">
      <c r="A65" s="118"/>
      <c r="B65" s="100"/>
      <c r="C65" s="102"/>
      <c r="D65" s="121"/>
      <c r="E65" s="106"/>
      <c r="F65" s="16" t="s">
        <v>15</v>
      </c>
      <c r="G65" s="26">
        <f>H65+I65+J65+K65+L65</f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82"/>
    </row>
    <row r="66" spans="1:13" ht="21.75" customHeight="1">
      <c r="A66" s="116" t="s">
        <v>36</v>
      </c>
      <c r="B66" s="98" t="s">
        <v>39</v>
      </c>
      <c r="C66" s="101" t="s">
        <v>125</v>
      </c>
      <c r="D66" s="103" t="s">
        <v>123</v>
      </c>
      <c r="E66" s="101" t="s">
        <v>106</v>
      </c>
      <c r="F66" s="16" t="s">
        <v>12</v>
      </c>
      <c r="G66" s="26">
        <f aca="true" t="shared" si="17" ref="G66:L66">G67+G68+G69</f>
        <v>0</v>
      </c>
      <c r="H66" s="26">
        <f t="shared" si="17"/>
        <v>0</v>
      </c>
      <c r="I66" s="26">
        <f t="shared" si="17"/>
        <v>0</v>
      </c>
      <c r="J66" s="26">
        <f t="shared" si="17"/>
        <v>0</v>
      </c>
      <c r="K66" s="26">
        <f t="shared" si="17"/>
        <v>0</v>
      </c>
      <c r="L66" s="26">
        <f t="shared" si="17"/>
        <v>0</v>
      </c>
      <c r="M66" s="82"/>
    </row>
    <row r="67" spans="1:13" ht="21.75" customHeight="1">
      <c r="A67" s="117"/>
      <c r="B67" s="99"/>
      <c r="C67" s="102"/>
      <c r="D67" s="104"/>
      <c r="E67" s="102"/>
      <c r="F67" s="16" t="s">
        <v>13</v>
      </c>
      <c r="G67" s="26">
        <f>H67+I67+J67+K67+L67</f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82"/>
    </row>
    <row r="68" spans="1:13" ht="21.75" customHeight="1">
      <c r="A68" s="117"/>
      <c r="B68" s="99"/>
      <c r="C68" s="102"/>
      <c r="D68" s="104"/>
      <c r="E68" s="102"/>
      <c r="F68" s="16" t="s">
        <v>14</v>
      </c>
      <c r="G68" s="26">
        <f>H68+I68+J68+K68+L68</f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82"/>
    </row>
    <row r="69" spans="1:13" ht="21.75" customHeight="1">
      <c r="A69" s="118"/>
      <c r="B69" s="100"/>
      <c r="C69" s="102"/>
      <c r="D69" s="105"/>
      <c r="E69" s="106"/>
      <c r="F69" s="16" t="s">
        <v>15</v>
      </c>
      <c r="G69" s="26">
        <f>H69+I69+J69+K69+L69</f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82"/>
    </row>
    <row r="70" spans="1:13" ht="21.75" customHeight="1">
      <c r="A70" s="116" t="s">
        <v>38</v>
      </c>
      <c r="B70" s="142" t="s">
        <v>185</v>
      </c>
      <c r="C70" s="101" t="s">
        <v>125</v>
      </c>
      <c r="D70" s="103" t="s">
        <v>123</v>
      </c>
      <c r="E70" s="101" t="s">
        <v>106</v>
      </c>
      <c r="F70" s="16" t="s">
        <v>12</v>
      </c>
      <c r="G70" s="26">
        <f aca="true" t="shared" si="18" ref="G70:L70">G71+G72+G73</f>
        <v>122500520</v>
      </c>
      <c r="H70" s="26">
        <f t="shared" si="18"/>
        <v>0</v>
      </c>
      <c r="I70" s="26">
        <f t="shared" si="18"/>
        <v>30779350</v>
      </c>
      <c r="J70" s="26">
        <f t="shared" si="18"/>
        <v>30279350</v>
      </c>
      <c r="K70" s="26">
        <f t="shared" si="18"/>
        <v>30279350</v>
      </c>
      <c r="L70" s="26">
        <f t="shared" si="18"/>
        <v>31162470</v>
      </c>
      <c r="M70" s="82"/>
    </row>
    <row r="71" spans="1:13" ht="21.75" customHeight="1">
      <c r="A71" s="117"/>
      <c r="B71" s="143"/>
      <c r="C71" s="102"/>
      <c r="D71" s="104"/>
      <c r="E71" s="102"/>
      <c r="F71" s="16" t="s">
        <v>13</v>
      </c>
      <c r="G71" s="26">
        <f>H71+I71+J71+K71+L71</f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82"/>
    </row>
    <row r="72" spans="1:13" ht="21.75" customHeight="1">
      <c r="A72" s="117"/>
      <c r="B72" s="143"/>
      <c r="C72" s="102"/>
      <c r="D72" s="104"/>
      <c r="E72" s="102"/>
      <c r="F72" s="16" t="s">
        <v>14</v>
      </c>
      <c r="G72" s="26">
        <f>H72+I72+J72+K72+L72</f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82"/>
    </row>
    <row r="73" spans="1:13" ht="21.75" customHeight="1">
      <c r="A73" s="118"/>
      <c r="B73" s="144"/>
      <c r="C73" s="102"/>
      <c r="D73" s="105"/>
      <c r="E73" s="106"/>
      <c r="F73" s="16" t="s">
        <v>15</v>
      </c>
      <c r="G73" s="26">
        <f>H73+I73+J73+K73+L73</f>
        <v>122500520</v>
      </c>
      <c r="H73" s="26">
        <v>0</v>
      </c>
      <c r="I73" s="26">
        <v>30779350</v>
      </c>
      <c r="J73" s="26">
        <v>30279350</v>
      </c>
      <c r="K73" s="26">
        <v>30279350</v>
      </c>
      <c r="L73" s="26">
        <v>31162470</v>
      </c>
      <c r="M73" s="82"/>
    </row>
    <row r="74" spans="1:13" ht="21.75" customHeight="1">
      <c r="A74" s="95" t="s">
        <v>183</v>
      </c>
      <c r="B74" s="98" t="s">
        <v>182</v>
      </c>
      <c r="C74" s="101" t="s">
        <v>125</v>
      </c>
      <c r="D74" s="103" t="s">
        <v>135</v>
      </c>
      <c r="E74" s="101" t="s">
        <v>106</v>
      </c>
      <c r="F74" s="16" t="s">
        <v>12</v>
      </c>
      <c r="G74" s="26">
        <f aca="true" t="shared" si="19" ref="G74:L74">G75+G76+G77</f>
        <v>1670133</v>
      </c>
      <c r="H74" s="26">
        <f t="shared" si="19"/>
        <v>0</v>
      </c>
      <c r="I74" s="26">
        <f t="shared" si="19"/>
        <v>0</v>
      </c>
      <c r="J74" s="26">
        <f t="shared" si="19"/>
        <v>556711</v>
      </c>
      <c r="K74" s="26">
        <f t="shared" si="19"/>
        <v>556711</v>
      </c>
      <c r="L74" s="26">
        <f t="shared" si="19"/>
        <v>556711</v>
      </c>
      <c r="M74" s="82"/>
    </row>
    <row r="75" spans="1:13" ht="21.75" customHeight="1">
      <c r="A75" s="96"/>
      <c r="B75" s="99"/>
      <c r="C75" s="102"/>
      <c r="D75" s="104"/>
      <c r="E75" s="102"/>
      <c r="F75" s="16" t="s">
        <v>13</v>
      </c>
      <c r="G75" s="26">
        <f>H75+I75+J75+K75+L75</f>
        <v>1670133</v>
      </c>
      <c r="H75" s="26"/>
      <c r="I75" s="26"/>
      <c r="J75" s="26">
        <v>556711</v>
      </c>
      <c r="K75" s="26">
        <v>556711</v>
      </c>
      <c r="L75" s="26">
        <v>556711</v>
      </c>
      <c r="M75" s="82"/>
    </row>
    <row r="76" spans="1:13" ht="21.75" customHeight="1">
      <c r="A76" s="96"/>
      <c r="B76" s="99"/>
      <c r="C76" s="102"/>
      <c r="D76" s="104"/>
      <c r="E76" s="102"/>
      <c r="F76" s="16" t="s">
        <v>14</v>
      </c>
      <c r="G76" s="26">
        <f>H76+I76+J76+K76+L76</f>
        <v>0</v>
      </c>
      <c r="H76" s="26"/>
      <c r="I76" s="26"/>
      <c r="J76" s="26">
        <v>0</v>
      </c>
      <c r="K76" s="26">
        <v>0</v>
      </c>
      <c r="L76" s="26">
        <v>0</v>
      </c>
      <c r="M76" s="82"/>
    </row>
    <row r="77" spans="1:13" ht="21.75" customHeight="1">
      <c r="A77" s="97"/>
      <c r="B77" s="100"/>
      <c r="C77" s="102"/>
      <c r="D77" s="105"/>
      <c r="E77" s="106"/>
      <c r="F77" s="16" t="s">
        <v>15</v>
      </c>
      <c r="G77" s="26">
        <f>H77+I77+J77+K77+L77</f>
        <v>0</v>
      </c>
      <c r="H77" s="26"/>
      <c r="I77" s="26"/>
      <c r="J77" s="26">
        <v>0</v>
      </c>
      <c r="K77" s="26">
        <v>0</v>
      </c>
      <c r="L77" s="26">
        <v>0</v>
      </c>
      <c r="M77" s="82"/>
    </row>
    <row r="78" spans="1:13" ht="21.75" customHeight="1">
      <c r="A78" s="75"/>
      <c r="B78" s="98" t="s">
        <v>83</v>
      </c>
      <c r="C78" s="101" t="s">
        <v>125</v>
      </c>
      <c r="D78" s="119" t="s">
        <v>124</v>
      </c>
      <c r="E78" s="101" t="s">
        <v>106</v>
      </c>
      <c r="F78" s="16" t="s">
        <v>12</v>
      </c>
      <c r="G78" s="26">
        <f aca="true" t="shared" si="20" ref="G78:L78">G79+G80+G81</f>
        <v>300000</v>
      </c>
      <c r="H78" s="26">
        <f>H79+H80+H81</f>
        <v>60000</v>
      </c>
      <c r="I78" s="26">
        <f>I79+I80+I81</f>
        <v>60000</v>
      </c>
      <c r="J78" s="26">
        <f>J79+J80+J81</f>
        <v>60000</v>
      </c>
      <c r="K78" s="26">
        <f t="shared" si="20"/>
        <v>60000</v>
      </c>
      <c r="L78" s="26">
        <f t="shared" si="20"/>
        <v>60000</v>
      </c>
      <c r="M78" s="82"/>
    </row>
    <row r="79" spans="1:13" ht="21.75" customHeight="1">
      <c r="A79" s="75"/>
      <c r="B79" s="99"/>
      <c r="C79" s="102"/>
      <c r="D79" s="120"/>
      <c r="E79" s="102"/>
      <c r="F79" s="16" t="s">
        <v>13</v>
      </c>
      <c r="G79" s="26">
        <f>H79+I79+J79+K79+L79</f>
        <v>300000</v>
      </c>
      <c r="H79" s="26">
        <v>60000</v>
      </c>
      <c r="I79" s="26">
        <v>60000</v>
      </c>
      <c r="J79" s="26">
        <v>60000</v>
      </c>
      <c r="K79" s="26">
        <v>60000</v>
      </c>
      <c r="L79" s="26">
        <v>60000</v>
      </c>
      <c r="M79" s="82"/>
    </row>
    <row r="80" spans="1:13" ht="21.75" customHeight="1">
      <c r="A80" s="77" t="s">
        <v>186</v>
      </c>
      <c r="B80" s="99"/>
      <c r="C80" s="102"/>
      <c r="D80" s="120"/>
      <c r="E80" s="102"/>
      <c r="F80" s="16" t="s">
        <v>14</v>
      </c>
      <c r="G80" s="26">
        <f>H80+I80+J80+K80+L80</f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82"/>
    </row>
    <row r="81" spans="1:13" ht="21" customHeight="1">
      <c r="A81" s="75"/>
      <c r="B81" s="100"/>
      <c r="C81" s="102"/>
      <c r="D81" s="121"/>
      <c r="E81" s="106"/>
      <c r="F81" s="16" t="s">
        <v>15</v>
      </c>
      <c r="G81" s="26">
        <f>H81+I81+J81+K81+L81</f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122"/>
    </row>
    <row r="82" spans="1:13" ht="21.75" customHeight="1">
      <c r="A82" s="182" t="s">
        <v>207</v>
      </c>
      <c r="B82" s="98" t="s">
        <v>195</v>
      </c>
      <c r="C82" s="101" t="s">
        <v>125</v>
      </c>
      <c r="D82" s="101" t="s">
        <v>143</v>
      </c>
      <c r="E82" s="101" t="s">
        <v>106</v>
      </c>
      <c r="F82" s="16" t="s">
        <v>12</v>
      </c>
      <c r="G82" s="26">
        <f aca="true" t="shared" si="21" ref="G82:L82">G83+G84+G85</f>
        <v>377847.68</v>
      </c>
      <c r="H82" s="26">
        <f t="shared" si="21"/>
        <v>0</v>
      </c>
      <c r="I82" s="26">
        <f t="shared" si="21"/>
        <v>0</v>
      </c>
      <c r="J82" s="26">
        <f t="shared" si="21"/>
        <v>165443.68</v>
      </c>
      <c r="K82" s="26">
        <f t="shared" si="21"/>
        <v>106202</v>
      </c>
      <c r="L82" s="26">
        <f t="shared" si="21"/>
        <v>106202</v>
      </c>
      <c r="M82" s="81" t="s">
        <v>204</v>
      </c>
    </row>
    <row r="83" spans="1:13" ht="21.75" customHeight="1">
      <c r="A83" s="183"/>
      <c r="B83" s="99"/>
      <c r="C83" s="102"/>
      <c r="D83" s="102"/>
      <c r="E83" s="102"/>
      <c r="F83" s="16" t="s">
        <v>13</v>
      </c>
      <c r="G83" s="26">
        <f>H83+I83+J83+K83+L83</f>
        <v>158400</v>
      </c>
      <c r="H83" s="26">
        <v>0</v>
      </c>
      <c r="I83" s="26">
        <v>0</v>
      </c>
      <c r="J83" s="26">
        <f>176000-123200</f>
        <v>52800</v>
      </c>
      <c r="K83" s="26">
        <f>106202-53402</f>
        <v>52800</v>
      </c>
      <c r="L83" s="26">
        <f>106202-53402</f>
        <v>52800</v>
      </c>
      <c r="M83" s="82"/>
    </row>
    <row r="84" spans="1:13" ht="21.75" customHeight="1">
      <c r="A84" s="183"/>
      <c r="B84" s="99"/>
      <c r="C84" s="102"/>
      <c r="D84" s="102"/>
      <c r="E84" s="102"/>
      <c r="F84" s="16" t="s">
        <v>14</v>
      </c>
      <c r="G84" s="26">
        <f>H84+I84+J84+K84+L84</f>
        <v>219447.68</v>
      </c>
      <c r="H84" s="26">
        <v>0</v>
      </c>
      <c r="I84" s="26">
        <v>0</v>
      </c>
      <c r="J84" s="26">
        <f>'[8]остатки средств в ФК_1'!$AH$84</f>
        <v>112643.68</v>
      </c>
      <c r="K84" s="26">
        <v>53402</v>
      </c>
      <c r="L84" s="26">
        <v>53402</v>
      </c>
      <c r="M84" s="82"/>
    </row>
    <row r="85" spans="1:13" ht="21.75" customHeight="1">
      <c r="A85" s="184"/>
      <c r="B85" s="100"/>
      <c r="C85" s="106"/>
      <c r="D85" s="106"/>
      <c r="E85" s="106"/>
      <c r="F85" s="16" t="s">
        <v>15</v>
      </c>
      <c r="G85" s="26">
        <f>H85+I85+J85+K85+L85</f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82"/>
    </row>
    <row r="86" spans="1:13" ht="21.75" customHeight="1">
      <c r="A86" s="145" t="s">
        <v>40</v>
      </c>
      <c r="B86" s="148" t="s">
        <v>41</v>
      </c>
      <c r="C86" s="151" t="s">
        <v>125</v>
      </c>
      <c r="D86" s="154" t="s">
        <v>135</v>
      </c>
      <c r="E86" s="151" t="s">
        <v>106</v>
      </c>
      <c r="F86" s="42" t="s">
        <v>12</v>
      </c>
      <c r="G86" s="43">
        <f aca="true" t="shared" si="22" ref="G86:L86">G87+G88+G89</f>
        <v>4765804</v>
      </c>
      <c r="H86" s="43">
        <f>H87+H88+H89</f>
        <v>943488</v>
      </c>
      <c r="I86" s="43">
        <f>I87+I88+I89</f>
        <v>953488</v>
      </c>
      <c r="J86" s="43">
        <f>J87+J88+J89</f>
        <v>956276</v>
      </c>
      <c r="K86" s="43">
        <f t="shared" si="22"/>
        <v>956276</v>
      </c>
      <c r="L86" s="43">
        <f t="shared" si="22"/>
        <v>956276</v>
      </c>
      <c r="M86" s="81" t="s">
        <v>150</v>
      </c>
    </row>
    <row r="87" spans="1:13" ht="21.75" customHeight="1">
      <c r="A87" s="146"/>
      <c r="B87" s="149"/>
      <c r="C87" s="152"/>
      <c r="D87" s="155"/>
      <c r="E87" s="152"/>
      <c r="F87" s="42" t="s">
        <v>13</v>
      </c>
      <c r="G87" s="43">
        <f>H87+I87+J87+K87+L87</f>
        <v>490000</v>
      </c>
      <c r="H87" s="43">
        <f aca="true" t="shared" si="23" ref="H87:L89">H91+H95</f>
        <v>90000</v>
      </c>
      <c r="I87" s="43">
        <f t="shared" si="23"/>
        <v>100000</v>
      </c>
      <c r="J87" s="43">
        <f t="shared" si="23"/>
        <v>100000</v>
      </c>
      <c r="K87" s="43">
        <f t="shared" si="23"/>
        <v>100000</v>
      </c>
      <c r="L87" s="43">
        <f t="shared" si="23"/>
        <v>100000</v>
      </c>
      <c r="M87" s="82"/>
    </row>
    <row r="88" spans="1:13" ht="21.75" customHeight="1">
      <c r="A88" s="146"/>
      <c r="B88" s="149"/>
      <c r="C88" s="152"/>
      <c r="D88" s="155"/>
      <c r="E88" s="152"/>
      <c r="F88" s="42" t="s">
        <v>14</v>
      </c>
      <c r="G88" s="43">
        <f>H88+I88+J88+K88+L88</f>
        <v>4275804</v>
      </c>
      <c r="H88" s="43">
        <f t="shared" si="23"/>
        <v>853488</v>
      </c>
      <c r="I88" s="43">
        <f t="shared" si="23"/>
        <v>853488</v>
      </c>
      <c r="J88" s="43">
        <f t="shared" si="23"/>
        <v>856276</v>
      </c>
      <c r="K88" s="43">
        <f t="shared" si="23"/>
        <v>856276</v>
      </c>
      <c r="L88" s="43">
        <f t="shared" si="23"/>
        <v>856276</v>
      </c>
      <c r="M88" s="82"/>
    </row>
    <row r="89" spans="1:13" ht="21.75" customHeight="1">
      <c r="A89" s="147"/>
      <c r="B89" s="150"/>
      <c r="C89" s="153"/>
      <c r="D89" s="156"/>
      <c r="E89" s="153"/>
      <c r="F89" s="42" t="s">
        <v>15</v>
      </c>
      <c r="G89" s="43">
        <f>H89+I89+J89+K89+L89</f>
        <v>0</v>
      </c>
      <c r="H89" s="43">
        <f t="shared" si="23"/>
        <v>0</v>
      </c>
      <c r="I89" s="43">
        <f t="shared" si="23"/>
        <v>0</v>
      </c>
      <c r="J89" s="43">
        <f t="shared" si="23"/>
        <v>0</v>
      </c>
      <c r="K89" s="43">
        <f t="shared" si="23"/>
        <v>0</v>
      </c>
      <c r="L89" s="43">
        <f t="shared" si="23"/>
        <v>0</v>
      </c>
      <c r="M89" s="82"/>
    </row>
    <row r="90" spans="1:13" ht="21.75" customHeight="1">
      <c r="A90" s="10"/>
      <c r="B90" s="98" t="s">
        <v>86</v>
      </c>
      <c r="C90" s="101" t="s">
        <v>125</v>
      </c>
      <c r="D90" s="103" t="s">
        <v>135</v>
      </c>
      <c r="E90" s="101" t="s">
        <v>106</v>
      </c>
      <c r="F90" s="16" t="s">
        <v>12</v>
      </c>
      <c r="G90" s="26">
        <f aca="true" t="shared" si="24" ref="G90:L90">G91+G92+G93</f>
        <v>490000</v>
      </c>
      <c r="H90" s="26">
        <f t="shared" si="24"/>
        <v>90000</v>
      </c>
      <c r="I90" s="26">
        <f t="shared" si="24"/>
        <v>100000</v>
      </c>
      <c r="J90" s="26">
        <f t="shared" si="24"/>
        <v>100000</v>
      </c>
      <c r="K90" s="26">
        <f t="shared" si="24"/>
        <v>100000</v>
      </c>
      <c r="L90" s="26">
        <f t="shared" si="24"/>
        <v>100000</v>
      </c>
      <c r="M90" s="82"/>
    </row>
    <row r="91" spans="1:13" ht="21.75" customHeight="1">
      <c r="A91" s="10"/>
      <c r="B91" s="99"/>
      <c r="C91" s="102"/>
      <c r="D91" s="104"/>
      <c r="E91" s="102"/>
      <c r="F91" s="16" t="s">
        <v>13</v>
      </c>
      <c r="G91" s="26">
        <f>H91+I91+J91+K91+L91</f>
        <v>490000</v>
      </c>
      <c r="H91" s="26">
        <v>90000</v>
      </c>
      <c r="I91" s="26">
        <f>100000</f>
        <v>100000</v>
      </c>
      <c r="J91" s="26">
        <v>100000</v>
      </c>
      <c r="K91" s="26">
        <v>100000</v>
      </c>
      <c r="L91" s="26">
        <v>100000</v>
      </c>
      <c r="M91" s="82"/>
    </row>
    <row r="92" spans="1:13" ht="21.75" customHeight="1">
      <c r="A92" s="77" t="s">
        <v>93</v>
      </c>
      <c r="B92" s="99"/>
      <c r="C92" s="102"/>
      <c r="D92" s="104"/>
      <c r="E92" s="102"/>
      <c r="F92" s="16" t="s">
        <v>14</v>
      </c>
      <c r="G92" s="26">
        <f>H92+I92+J92+K92+L92</f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82"/>
    </row>
    <row r="93" spans="1:13" ht="21.75" customHeight="1">
      <c r="A93" s="10"/>
      <c r="B93" s="100"/>
      <c r="C93" s="102"/>
      <c r="D93" s="105"/>
      <c r="E93" s="106"/>
      <c r="F93" s="16" t="s">
        <v>15</v>
      </c>
      <c r="G93" s="26">
        <f>H93+I93+J93+K93+L93</f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82"/>
    </row>
    <row r="94" spans="1:13" ht="21.75" customHeight="1">
      <c r="A94" s="116" t="s">
        <v>92</v>
      </c>
      <c r="B94" s="98" t="s">
        <v>42</v>
      </c>
      <c r="C94" s="101" t="s">
        <v>125</v>
      </c>
      <c r="D94" s="103" t="s">
        <v>123</v>
      </c>
      <c r="E94" s="101" t="s">
        <v>106</v>
      </c>
      <c r="F94" s="16" t="s">
        <v>12</v>
      </c>
      <c r="G94" s="26">
        <f aca="true" t="shared" si="25" ref="G94:L94">G95+G96+G97</f>
        <v>4275804</v>
      </c>
      <c r="H94" s="26">
        <f t="shared" si="25"/>
        <v>853488</v>
      </c>
      <c r="I94" s="26">
        <f t="shared" si="25"/>
        <v>853488</v>
      </c>
      <c r="J94" s="26">
        <f t="shared" si="25"/>
        <v>856276</v>
      </c>
      <c r="K94" s="26">
        <f t="shared" si="25"/>
        <v>856276</v>
      </c>
      <c r="L94" s="26">
        <f t="shared" si="25"/>
        <v>856276</v>
      </c>
      <c r="M94" s="82"/>
    </row>
    <row r="95" spans="1:13" ht="21.75" customHeight="1">
      <c r="A95" s="117"/>
      <c r="B95" s="99"/>
      <c r="C95" s="102"/>
      <c r="D95" s="104"/>
      <c r="E95" s="102"/>
      <c r="F95" s="16" t="s">
        <v>13</v>
      </c>
      <c r="G95" s="26">
        <f>H95+I95+J95+K95+L95</f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82"/>
    </row>
    <row r="96" spans="1:14" ht="21.75" customHeight="1">
      <c r="A96" s="117"/>
      <c r="B96" s="99"/>
      <c r="C96" s="102"/>
      <c r="D96" s="104"/>
      <c r="E96" s="102"/>
      <c r="F96" s="16" t="s">
        <v>14</v>
      </c>
      <c r="G96" s="26">
        <f>H96+I96+J96+K96+L96</f>
        <v>4275804</v>
      </c>
      <c r="H96" s="26">
        <f>127900+293084+432504</f>
        <v>853488</v>
      </c>
      <c r="I96" s="26">
        <f>127900+293084+432504</f>
        <v>853488</v>
      </c>
      <c r="J96" s="26">
        <f>127214+301194+427868</f>
        <v>856276</v>
      </c>
      <c r="K96" s="26">
        <f>127214+301194+427868</f>
        <v>856276</v>
      </c>
      <c r="L96" s="26">
        <f>127214+301194+427868</f>
        <v>856276</v>
      </c>
      <c r="M96" s="82"/>
      <c r="N96" s="11"/>
    </row>
    <row r="97" spans="1:13" ht="21.75" customHeight="1">
      <c r="A97" s="118"/>
      <c r="B97" s="100"/>
      <c r="C97" s="102"/>
      <c r="D97" s="105"/>
      <c r="E97" s="106"/>
      <c r="F97" s="16" t="s">
        <v>15</v>
      </c>
      <c r="G97" s="26">
        <f>H97+I97+J97+K97+L97</f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122"/>
    </row>
    <row r="98" spans="1:13" ht="21.75" customHeight="1">
      <c r="A98" s="145" t="s">
        <v>43</v>
      </c>
      <c r="B98" s="148" t="s">
        <v>44</v>
      </c>
      <c r="C98" s="151" t="s">
        <v>125</v>
      </c>
      <c r="D98" s="154" t="s">
        <v>136</v>
      </c>
      <c r="E98" s="151" t="s">
        <v>106</v>
      </c>
      <c r="F98" s="42" t="s">
        <v>12</v>
      </c>
      <c r="G98" s="43">
        <f aca="true" t="shared" si="26" ref="G98:L98">G99+G100+G101</f>
        <v>480033146.95000005</v>
      </c>
      <c r="H98" s="43">
        <f>H99+H100+H101</f>
        <v>84695056.78</v>
      </c>
      <c r="I98" s="43">
        <f>I99+I100+I101</f>
        <v>96970505.43</v>
      </c>
      <c r="J98" s="43">
        <f>J99+J100+J101</f>
        <v>98756868.93</v>
      </c>
      <c r="K98" s="43">
        <f t="shared" si="26"/>
        <v>100195155.28</v>
      </c>
      <c r="L98" s="43">
        <f t="shared" si="26"/>
        <v>99415560.53</v>
      </c>
      <c r="M98" s="157" t="s">
        <v>162</v>
      </c>
    </row>
    <row r="99" spans="1:13" ht="21.75" customHeight="1">
      <c r="A99" s="146"/>
      <c r="B99" s="149"/>
      <c r="C99" s="152"/>
      <c r="D99" s="155"/>
      <c r="E99" s="152"/>
      <c r="F99" s="42" t="s">
        <v>13</v>
      </c>
      <c r="G99" s="43">
        <f>H99+I99+J99+K99+L99</f>
        <v>95267743.66</v>
      </c>
      <c r="H99" s="43">
        <f aca="true" t="shared" si="27" ref="H99:L101">H103+H107+H119+H111+H115</f>
        <v>19269008.78</v>
      </c>
      <c r="I99" s="43">
        <f t="shared" si="27"/>
        <v>20033854.14</v>
      </c>
      <c r="J99" s="43">
        <f>J103+J107+J119+J111+J115</f>
        <v>20898527.93</v>
      </c>
      <c r="K99" s="43">
        <f t="shared" si="27"/>
        <v>19680921.28</v>
      </c>
      <c r="L99" s="43">
        <f t="shared" si="27"/>
        <v>15385431.53</v>
      </c>
      <c r="M99" s="158"/>
    </row>
    <row r="100" spans="1:13" ht="21.75" customHeight="1">
      <c r="A100" s="146"/>
      <c r="B100" s="149"/>
      <c r="C100" s="152"/>
      <c r="D100" s="155"/>
      <c r="E100" s="152"/>
      <c r="F100" s="42" t="s">
        <v>14</v>
      </c>
      <c r="G100" s="43">
        <f>H100+I100+J100+K100+L100</f>
        <v>384765403.29</v>
      </c>
      <c r="H100" s="43">
        <f t="shared" si="27"/>
        <v>65426048</v>
      </c>
      <c r="I100" s="43">
        <f t="shared" si="27"/>
        <v>76936651.29</v>
      </c>
      <c r="J100" s="43">
        <f>J104+J108+J120+J112+J116</f>
        <v>77858341</v>
      </c>
      <c r="K100" s="43">
        <f t="shared" si="27"/>
        <v>80514234</v>
      </c>
      <c r="L100" s="43">
        <f t="shared" si="27"/>
        <v>84030129</v>
      </c>
      <c r="M100" s="158"/>
    </row>
    <row r="101" spans="1:13" ht="21.75" customHeight="1">
      <c r="A101" s="147"/>
      <c r="B101" s="150"/>
      <c r="C101" s="153"/>
      <c r="D101" s="156"/>
      <c r="E101" s="153"/>
      <c r="F101" s="42" t="s">
        <v>15</v>
      </c>
      <c r="G101" s="43">
        <f>H101+I101+J101+K101+L101</f>
        <v>0</v>
      </c>
      <c r="H101" s="43">
        <f t="shared" si="27"/>
        <v>0</v>
      </c>
      <c r="I101" s="43">
        <f t="shared" si="27"/>
        <v>0</v>
      </c>
      <c r="J101" s="43">
        <f t="shared" si="27"/>
        <v>0</v>
      </c>
      <c r="K101" s="43">
        <f t="shared" si="27"/>
        <v>0</v>
      </c>
      <c r="L101" s="43">
        <f t="shared" si="27"/>
        <v>0</v>
      </c>
      <c r="M101" s="158"/>
    </row>
    <row r="102" spans="1:13" ht="21.75" customHeight="1">
      <c r="A102" s="116" t="s">
        <v>45</v>
      </c>
      <c r="B102" s="98" t="s">
        <v>82</v>
      </c>
      <c r="C102" s="101" t="s">
        <v>125</v>
      </c>
      <c r="D102" s="103" t="s">
        <v>135</v>
      </c>
      <c r="E102" s="101" t="s">
        <v>106</v>
      </c>
      <c r="F102" s="16" t="s">
        <v>12</v>
      </c>
      <c r="G102" s="26">
        <f aca="true" t="shared" si="28" ref="G102:L102">G103+G104+G105</f>
        <v>397209861.13</v>
      </c>
      <c r="H102" s="26">
        <f t="shared" si="28"/>
        <v>75416376.46000001</v>
      </c>
      <c r="I102" s="26">
        <f t="shared" si="28"/>
        <v>78327455.74</v>
      </c>
      <c r="J102" s="26">
        <f t="shared" si="28"/>
        <v>81078227.93</v>
      </c>
      <c r="K102" s="26">
        <f t="shared" si="28"/>
        <v>81989339</v>
      </c>
      <c r="L102" s="26">
        <f t="shared" si="28"/>
        <v>80398462</v>
      </c>
      <c r="M102" s="158"/>
    </row>
    <row r="103" spans="1:15" ht="21.75" customHeight="1">
      <c r="A103" s="117"/>
      <c r="B103" s="99"/>
      <c r="C103" s="102"/>
      <c r="D103" s="104"/>
      <c r="E103" s="102"/>
      <c r="F103" s="16" t="s">
        <v>13</v>
      </c>
      <c r="G103" s="26">
        <f>H103+I103+J103+K103+L103</f>
        <v>77807245.9</v>
      </c>
      <c r="H103" s="26">
        <v>17880557.46</v>
      </c>
      <c r="I103" s="26">
        <f>15484283.05-117000+1049417.39</f>
        <v>16416700.440000001</v>
      </c>
      <c r="J103" s="26">
        <v>17127247</v>
      </c>
      <c r="K103" s="26">
        <v>15367283</v>
      </c>
      <c r="L103" s="26">
        <v>11015458</v>
      </c>
      <c r="M103" s="158"/>
      <c r="N103" s="12"/>
      <c r="O103" s="7"/>
    </row>
    <row r="104" spans="1:13" ht="21.75" customHeight="1">
      <c r="A104" s="117"/>
      <c r="B104" s="99"/>
      <c r="C104" s="102"/>
      <c r="D104" s="104"/>
      <c r="E104" s="102"/>
      <c r="F104" s="16" t="s">
        <v>14</v>
      </c>
      <c r="G104" s="26">
        <f>H104+I104+J104+K104+L104</f>
        <v>319402615.23</v>
      </c>
      <c r="H104" s="26">
        <f>57968323-432504</f>
        <v>57535819</v>
      </c>
      <c r="I104" s="26">
        <f>62343259.3-432504</f>
        <v>61910755.3</v>
      </c>
      <c r="J104" s="26">
        <f>64378848.93-427868</f>
        <v>63950980.93</v>
      </c>
      <c r="K104" s="26">
        <f>67049924-427868</f>
        <v>66622056</v>
      </c>
      <c r="L104" s="26">
        <f>69810872-427868</f>
        <v>69383004</v>
      </c>
      <c r="M104" s="158"/>
    </row>
    <row r="105" spans="1:13" ht="21.75" customHeight="1">
      <c r="A105" s="118"/>
      <c r="B105" s="100"/>
      <c r="C105" s="102"/>
      <c r="D105" s="105"/>
      <c r="E105" s="106"/>
      <c r="F105" s="16" t="s">
        <v>15</v>
      </c>
      <c r="G105" s="26">
        <f>H105+I105+J105+K105+L105</f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158"/>
    </row>
    <row r="106" spans="1:13" ht="21.75" customHeight="1">
      <c r="A106" s="116" t="s">
        <v>46</v>
      </c>
      <c r="B106" s="142" t="s">
        <v>21</v>
      </c>
      <c r="C106" s="101" t="s">
        <v>125</v>
      </c>
      <c r="D106" s="119" t="s">
        <v>132</v>
      </c>
      <c r="E106" s="101" t="s">
        <v>106</v>
      </c>
      <c r="F106" s="16" t="s">
        <v>12</v>
      </c>
      <c r="G106" s="26">
        <f aca="true" t="shared" si="29" ref="G106:L106">G107+G108+G109</f>
        <v>374346.13</v>
      </c>
      <c r="H106" s="26">
        <f t="shared" si="29"/>
        <v>48537.82</v>
      </c>
      <c r="I106" s="26">
        <f t="shared" si="29"/>
        <v>103165.31</v>
      </c>
      <c r="J106" s="26">
        <f t="shared" si="29"/>
        <v>125567</v>
      </c>
      <c r="K106" s="26">
        <f t="shared" si="29"/>
        <v>48538</v>
      </c>
      <c r="L106" s="26">
        <f t="shared" si="29"/>
        <v>48538</v>
      </c>
      <c r="M106" s="158"/>
    </row>
    <row r="107" spans="1:13" ht="21.75" customHeight="1">
      <c r="A107" s="117"/>
      <c r="B107" s="143"/>
      <c r="C107" s="102"/>
      <c r="D107" s="120"/>
      <c r="E107" s="102"/>
      <c r="F107" s="16" t="s">
        <v>13</v>
      </c>
      <c r="G107" s="26">
        <f>H107+I107+J107+K107+L107</f>
        <v>374346.13</v>
      </c>
      <c r="H107" s="26">
        <f>48538-0.18</f>
        <v>48537.82</v>
      </c>
      <c r="I107" s="26">
        <f>94165.31+9000</f>
        <v>103165.31</v>
      </c>
      <c r="J107" s="26">
        <f>125426+141</f>
        <v>125567</v>
      </c>
      <c r="K107" s="26">
        <v>48538</v>
      </c>
      <c r="L107" s="26">
        <v>48538</v>
      </c>
      <c r="M107" s="158"/>
    </row>
    <row r="108" spans="1:13" ht="21.75" customHeight="1">
      <c r="A108" s="117"/>
      <c r="B108" s="143"/>
      <c r="C108" s="102"/>
      <c r="D108" s="120"/>
      <c r="E108" s="102"/>
      <c r="F108" s="16" t="s">
        <v>14</v>
      </c>
      <c r="G108" s="26">
        <f>H108+I108+J108+K108+L108</f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158"/>
    </row>
    <row r="109" spans="1:13" ht="21.75" customHeight="1">
      <c r="A109" s="118"/>
      <c r="B109" s="144"/>
      <c r="C109" s="102"/>
      <c r="D109" s="121"/>
      <c r="E109" s="106"/>
      <c r="F109" s="16" t="s">
        <v>15</v>
      </c>
      <c r="G109" s="26">
        <f>H109+I109+J109+K109+L109</f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158"/>
    </row>
    <row r="110" spans="1:13" ht="21.75" customHeight="1">
      <c r="A110" s="75"/>
      <c r="B110" s="142" t="s">
        <v>96</v>
      </c>
      <c r="C110" s="101" t="s">
        <v>125</v>
      </c>
      <c r="D110" s="119" t="s">
        <v>133</v>
      </c>
      <c r="E110" s="101" t="s">
        <v>106</v>
      </c>
      <c r="F110" s="16" t="s">
        <v>12</v>
      </c>
      <c r="G110" s="26">
        <f aca="true" t="shared" si="30" ref="G110:L110">G111+G112+G113</f>
        <v>3887641.65</v>
      </c>
      <c r="H110" s="26">
        <f t="shared" si="30"/>
        <v>393480</v>
      </c>
      <c r="I110" s="26">
        <f t="shared" si="30"/>
        <v>1094161.65</v>
      </c>
      <c r="J110" s="26">
        <f t="shared" si="30"/>
        <v>400000</v>
      </c>
      <c r="K110" s="26">
        <f t="shared" si="30"/>
        <v>1000000</v>
      </c>
      <c r="L110" s="26">
        <f t="shared" si="30"/>
        <v>1000000</v>
      </c>
      <c r="M110" s="158"/>
    </row>
    <row r="111" spans="1:13" ht="21.75" customHeight="1">
      <c r="A111" s="75"/>
      <c r="B111" s="143"/>
      <c r="C111" s="102"/>
      <c r="D111" s="120"/>
      <c r="E111" s="102"/>
      <c r="F111" s="16" t="s">
        <v>13</v>
      </c>
      <c r="G111" s="26">
        <f>H111+I111+J111+K111+L111</f>
        <v>3887641.65</v>
      </c>
      <c r="H111" s="26">
        <v>393480</v>
      </c>
      <c r="I111" s="26">
        <f>20000+1074161.65</f>
        <v>1094161.65</v>
      </c>
      <c r="J111" s="26">
        <f>500000-100000</f>
        <v>400000</v>
      </c>
      <c r="K111" s="26">
        <v>1000000</v>
      </c>
      <c r="L111" s="26">
        <v>1000000</v>
      </c>
      <c r="M111" s="158"/>
    </row>
    <row r="112" spans="1:13" ht="21.75" customHeight="1">
      <c r="A112" s="77" t="s">
        <v>95</v>
      </c>
      <c r="B112" s="143"/>
      <c r="C112" s="102"/>
      <c r="D112" s="120"/>
      <c r="E112" s="102"/>
      <c r="F112" s="16" t="s">
        <v>14</v>
      </c>
      <c r="G112" s="26">
        <f>H112+I112+J112+K112+L112</f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158"/>
    </row>
    <row r="113" spans="1:13" ht="21.75" customHeight="1">
      <c r="A113" s="75"/>
      <c r="B113" s="144"/>
      <c r="C113" s="102"/>
      <c r="D113" s="121"/>
      <c r="E113" s="106"/>
      <c r="F113" s="16" t="s">
        <v>15</v>
      </c>
      <c r="G113" s="26">
        <f>H113+I113+J113+K113+L113</f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158"/>
    </row>
    <row r="114" spans="1:13" ht="21.75" customHeight="1">
      <c r="A114" s="116" t="s">
        <v>94</v>
      </c>
      <c r="B114" s="142" t="s">
        <v>23</v>
      </c>
      <c r="C114" s="101" t="s">
        <v>125</v>
      </c>
      <c r="D114" s="119" t="s">
        <v>134</v>
      </c>
      <c r="E114" s="101" t="s">
        <v>106</v>
      </c>
      <c r="F114" s="16" t="s">
        <v>12</v>
      </c>
      <c r="G114" s="26">
        <f aca="true" t="shared" si="31" ref="G114:L114">G115+G116+G117</f>
        <v>16983877.29</v>
      </c>
      <c r="H114" s="26">
        <f t="shared" si="31"/>
        <v>3915780</v>
      </c>
      <c r="I114" s="26">
        <f t="shared" si="31"/>
        <v>3809664.29</v>
      </c>
      <c r="J114" s="26">
        <f t="shared" si="31"/>
        <v>2987794</v>
      </c>
      <c r="K114" s="26">
        <f t="shared" si="31"/>
        <v>2838978</v>
      </c>
      <c r="L114" s="26">
        <f t="shared" si="31"/>
        <v>3431661</v>
      </c>
      <c r="M114" s="158"/>
    </row>
    <row r="115" spans="1:13" ht="21.75" customHeight="1">
      <c r="A115" s="117"/>
      <c r="B115" s="143"/>
      <c r="C115" s="102"/>
      <c r="D115" s="120"/>
      <c r="E115" s="102"/>
      <c r="F115" s="16" t="s">
        <v>13</v>
      </c>
      <c r="G115" s="26">
        <f>H115+I115+J115+K115+L115</f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158"/>
    </row>
    <row r="116" spans="1:13" ht="21.75" customHeight="1">
      <c r="A116" s="117"/>
      <c r="B116" s="143"/>
      <c r="C116" s="102"/>
      <c r="D116" s="120"/>
      <c r="E116" s="102"/>
      <c r="F116" s="16" t="s">
        <v>14</v>
      </c>
      <c r="G116" s="26">
        <f>H116+I116+J116+K116+L116</f>
        <v>16983877.29</v>
      </c>
      <c r="H116" s="26">
        <f>1513280+2402500</f>
        <v>3915780</v>
      </c>
      <c r="I116" s="26">
        <f>1178210+2631454.29</f>
        <v>3809664.29</v>
      </c>
      <c r="J116" s="26">
        <f>1154809+1980000-147015</f>
        <v>2987794</v>
      </c>
      <c r="K116" s="26">
        <f>1195000+1643978</f>
        <v>2838978</v>
      </c>
      <c r="L116" s="26">
        <f>1341133+2090528</f>
        <v>3431661</v>
      </c>
      <c r="M116" s="158"/>
    </row>
    <row r="117" spans="1:13" ht="21.75" customHeight="1">
      <c r="A117" s="118"/>
      <c r="B117" s="144"/>
      <c r="C117" s="102"/>
      <c r="D117" s="121"/>
      <c r="E117" s="106"/>
      <c r="F117" s="16" t="s">
        <v>15</v>
      </c>
      <c r="G117" s="26">
        <f>H117+I117+J117+K117+L117</f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158"/>
    </row>
    <row r="118" spans="1:13" ht="21.75" customHeight="1">
      <c r="A118" s="116" t="s">
        <v>160</v>
      </c>
      <c r="B118" s="142" t="s">
        <v>159</v>
      </c>
      <c r="C118" s="101" t="s">
        <v>125</v>
      </c>
      <c r="D118" s="103" t="s">
        <v>137</v>
      </c>
      <c r="E118" s="101" t="s">
        <v>106</v>
      </c>
      <c r="F118" s="16" t="s">
        <v>12</v>
      </c>
      <c r="G118" s="26">
        <f aca="true" t="shared" si="32" ref="G118:L118">G119+G120+G121</f>
        <v>61577420.74999999</v>
      </c>
      <c r="H118" s="26">
        <f t="shared" si="32"/>
        <v>4920882.5</v>
      </c>
      <c r="I118" s="26">
        <f t="shared" si="32"/>
        <v>13636058.44</v>
      </c>
      <c r="J118" s="26">
        <f t="shared" si="32"/>
        <v>14165280</v>
      </c>
      <c r="K118" s="26">
        <f t="shared" si="32"/>
        <v>14318300.28</v>
      </c>
      <c r="L118" s="26">
        <f t="shared" si="32"/>
        <v>14536899.53</v>
      </c>
      <c r="M118" s="158"/>
    </row>
    <row r="119" spans="1:13" ht="21.75" customHeight="1">
      <c r="A119" s="117"/>
      <c r="B119" s="143"/>
      <c r="C119" s="102"/>
      <c r="D119" s="104"/>
      <c r="E119" s="102"/>
      <c r="F119" s="16" t="s">
        <v>13</v>
      </c>
      <c r="G119" s="26">
        <f>H119+I119+J119+K119+L119</f>
        <v>13198509.979999999</v>
      </c>
      <c r="H119" s="26">
        <f>845990.48+96482.96-233.44+4193.5</f>
        <v>946433.5</v>
      </c>
      <c r="I119" s="26">
        <f>2724868.3-76260.5*3-76260.06</f>
        <v>2419826.7399999998</v>
      </c>
      <c r="J119" s="26">
        <v>3245713.93</v>
      </c>
      <c r="K119" s="26">
        <v>3265100.28</v>
      </c>
      <c r="L119" s="26">
        <v>3321435.53</v>
      </c>
      <c r="M119" s="158"/>
    </row>
    <row r="120" spans="1:13" ht="21.75" customHeight="1">
      <c r="A120" s="117"/>
      <c r="B120" s="143"/>
      <c r="C120" s="102"/>
      <c r="D120" s="104"/>
      <c r="E120" s="102"/>
      <c r="F120" s="16" t="s">
        <v>14</v>
      </c>
      <c r="G120" s="26">
        <f>H120+I120+J120+K120+L120</f>
        <v>48378910.769999996</v>
      </c>
      <c r="H120" s="26">
        <f>3768960+205489</f>
        <v>3974449</v>
      </c>
      <c r="I120" s="26">
        <v>11216231.7</v>
      </c>
      <c r="J120" s="26">
        <v>10919566.07</v>
      </c>
      <c r="K120" s="26">
        <v>11053200</v>
      </c>
      <c r="L120" s="26">
        <v>11215464</v>
      </c>
      <c r="M120" s="158"/>
    </row>
    <row r="121" spans="1:13" ht="21.75" customHeight="1">
      <c r="A121" s="118"/>
      <c r="B121" s="144"/>
      <c r="C121" s="102"/>
      <c r="D121" s="105"/>
      <c r="E121" s="106"/>
      <c r="F121" s="16" t="s">
        <v>15</v>
      </c>
      <c r="G121" s="26">
        <f>H121+I121+J121+K121+L121</f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159"/>
    </row>
    <row r="122" spans="1:13" ht="21.75" customHeight="1">
      <c r="A122" s="145" t="s">
        <v>47</v>
      </c>
      <c r="B122" s="148" t="s">
        <v>48</v>
      </c>
      <c r="C122" s="151" t="s">
        <v>125</v>
      </c>
      <c r="D122" s="154" t="s">
        <v>137</v>
      </c>
      <c r="E122" s="151" t="s">
        <v>106</v>
      </c>
      <c r="F122" s="42" t="s">
        <v>12</v>
      </c>
      <c r="G122" s="43">
        <f aca="true" t="shared" si="33" ref="G122:L122">G123+G124+G125</f>
        <v>150525883.1</v>
      </c>
      <c r="H122" s="43">
        <f>H123+H124+H125</f>
        <v>23814087.8</v>
      </c>
      <c r="I122" s="43">
        <f>I123+I124+I125</f>
        <v>44379680.78999999</v>
      </c>
      <c r="J122" s="43">
        <f>J123+J124+J125</f>
        <v>26790322.8</v>
      </c>
      <c r="K122" s="43">
        <f t="shared" si="33"/>
        <v>27573157.4</v>
      </c>
      <c r="L122" s="43">
        <f t="shared" si="33"/>
        <v>27968634.310000002</v>
      </c>
      <c r="M122" s="81"/>
    </row>
    <row r="123" spans="1:13" ht="21.75" customHeight="1">
      <c r="A123" s="146"/>
      <c r="B123" s="149"/>
      <c r="C123" s="152"/>
      <c r="D123" s="155"/>
      <c r="E123" s="152"/>
      <c r="F123" s="42" t="s">
        <v>13</v>
      </c>
      <c r="G123" s="43">
        <f>H123+I123+J123+K123+L123</f>
        <v>30394541.93</v>
      </c>
      <c r="H123" s="43">
        <f>H127+H139+H143+H147+H151+H155+H131+H135+H159+H163+H167</f>
        <v>2476339.29</v>
      </c>
      <c r="I123" s="43">
        <f>I127+I139+I143+I147+I151+I155+I131+I135+I159+I163+I167</f>
        <v>3759702.31</v>
      </c>
      <c r="J123" s="43">
        <f>J127+J139+J143+J147+J151+J155+J131+J135+J159+J163+J167</f>
        <v>7567445.21</v>
      </c>
      <c r="K123" s="43">
        <f>K127+K139+K143+K147+K151+K155+K131+K135+K159+K163+K167</f>
        <v>8284372.33</v>
      </c>
      <c r="L123" s="43">
        <f>L127+L139+L143+L147+L151+L155+L131+L135+L159+L163+L167</f>
        <v>8306682.79</v>
      </c>
      <c r="M123" s="82"/>
    </row>
    <row r="124" spans="1:13" ht="21.75" customHeight="1">
      <c r="A124" s="146"/>
      <c r="B124" s="149"/>
      <c r="C124" s="152"/>
      <c r="D124" s="155"/>
      <c r="E124" s="152"/>
      <c r="F124" s="42" t="s">
        <v>14</v>
      </c>
      <c r="G124" s="43">
        <f>H124+I124+J124+K124+L124</f>
        <v>26972842.71</v>
      </c>
      <c r="H124" s="43">
        <f aca="true" t="shared" si="34" ref="H124:J125">H128+H140+H144+H148+H152+H156+H132+H136+H160+H164+H168</f>
        <v>11497014.51</v>
      </c>
      <c r="I124" s="43">
        <f t="shared" si="34"/>
        <v>5421714.0200000005</v>
      </c>
      <c r="J124" s="43">
        <f t="shared" si="34"/>
        <v>2965177.59</v>
      </c>
      <c r="K124" s="43">
        <f>K128+K140+K144+K148+K152+K156+K132+K136+K160+K164+K168</f>
        <v>3520985.0700000003</v>
      </c>
      <c r="L124" s="43">
        <f>L128+L140+L144+L148+L152+L156+L132+L136+L160+L164+L168</f>
        <v>3567951.52</v>
      </c>
      <c r="M124" s="82"/>
    </row>
    <row r="125" spans="1:13" ht="21.75" customHeight="1">
      <c r="A125" s="147"/>
      <c r="B125" s="150"/>
      <c r="C125" s="153"/>
      <c r="D125" s="156"/>
      <c r="E125" s="153"/>
      <c r="F125" s="42" t="s">
        <v>15</v>
      </c>
      <c r="G125" s="43">
        <f>H125+I125+J125+K125+L125</f>
        <v>93158498.46</v>
      </c>
      <c r="H125" s="43">
        <f t="shared" si="34"/>
        <v>9840734</v>
      </c>
      <c r="I125" s="43">
        <f t="shared" si="34"/>
        <v>35198264.45999999</v>
      </c>
      <c r="J125" s="43">
        <f t="shared" si="34"/>
        <v>16257700</v>
      </c>
      <c r="K125" s="43">
        <f>K129+K141+K145+K149+K153+K157+K133+K137+K161+K165+K169</f>
        <v>15767800</v>
      </c>
      <c r="L125" s="43">
        <f>L129+L141+L145+L149+L153+L157+L133+L137+L161+L165+L169</f>
        <v>16094000</v>
      </c>
      <c r="M125" s="82"/>
    </row>
    <row r="126" spans="1:13" ht="21.75" customHeight="1">
      <c r="A126" s="116" t="s">
        <v>49</v>
      </c>
      <c r="B126" s="98" t="s">
        <v>50</v>
      </c>
      <c r="C126" s="101" t="s">
        <v>125</v>
      </c>
      <c r="D126" s="101"/>
      <c r="E126" s="101" t="s">
        <v>106</v>
      </c>
      <c r="F126" s="16" t="s">
        <v>12</v>
      </c>
      <c r="G126" s="26">
        <f aca="true" t="shared" si="35" ref="G126:L126">G127+G128+G129</f>
        <v>58058</v>
      </c>
      <c r="H126" s="26">
        <f t="shared" si="35"/>
        <v>58058</v>
      </c>
      <c r="I126" s="26">
        <f t="shared" si="35"/>
        <v>0</v>
      </c>
      <c r="J126" s="26">
        <f t="shared" si="35"/>
        <v>0</v>
      </c>
      <c r="K126" s="26">
        <f t="shared" si="35"/>
        <v>0</v>
      </c>
      <c r="L126" s="26">
        <f t="shared" si="35"/>
        <v>0</v>
      </c>
      <c r="M126" s="82" t="s">
        <v>144</v>
      </c>
    </row>
    <row r="127" spans="1:13" ht="21.75" customHeight="1">
      <c r="A127" s="117"/>
      <c r="B127" s="99"/>
      <c r="C127" s="102"/>
      <c r="D127" s="102"/>
      <c r="E127" s="102"/>
      <c r="F127" s="16" t="s">
        <v>13</v>
      </c>
      <c r="G127" s="26">
        <f>H127+I127+J127+K127+L127</f>
        <v>58058</v>
      </c>
      <c r="H127" s="26">
        <v>58058</v>
      </c>
      <c r="I127" s="26">
        <v>0</v>
      </c>
      <c r="J127" s="26">
        <v>0</v>
      </c>
      <c r="K127" s="26">
        <v>0</v>
      </c>
      <c r="L127" s="26">
        <v>0</v>
      </c>
      <c r="M127" s="82"/>
    </row>
    <row r="128" spans="1:13" ht="21.75" customHeight="1">
      <c r="A128" s="117"/>
      <c r="B128" s="99"/>
      <c r="C128" s="102"/>
      <c r="D128" s="102"/>
      <c r="E128" s="102"/>
      <c r="F128" s="16" t="s">
        <v>14</v>
      </c>
      <c r="G128" s="26">
        <f>H128+I128+J128+K128+L128</f>
        <v>0</v>
      </c>
      <c r="H128" s="26">
        <v>0</v>
      </c>
      <c r="I128" s="26">
        <v>0</v>
      </c>
      <c r="J128" s="26">
        <v>0</v>
      </c>
      <c r="K128" s="26"/>
      <c r="L128" s="26">
        <v>0</v>
      </c>
      <c r="M128" s="82"/>
    </row>
    <row r="129" spans="1:13" ht="21.75" customHeight="1">
      <c r="A129" s="118"/>
      <c r="B129" s="100"/>
      <c r="C129" s="102"/>
      <c r="D129" s="106"/>
      <c r="E129" s="106"/>
      <c r="F129" s="16" t="s">
        <v>15</v>
      </c>
      <c r="G129" s="26">
        <f>H129+I129+J129+K129+L129</f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82"/>
    </row>
    <row r="130" spans="1:13" ht="21.75" customHeight="1">
      <c r="A130" s="116" t="s">
        <v>51</v>
      </c>
      <c r="B130" s="98" t="s">
        <v>116</v>
      </c>
      <c r="C130" s="101" t="s">
        <v>125</v>
      </c>
      <c r="D130" s="119" t="s">
        <v>129</v>
      </c>
      <c r="E130" s="101" t="s">
        <v>106</v>
      </c>
      <c r="F130" s="16" t="s">
        <v>12</v>
      </c>
      <c r="G130" s="26">
        <f aca="true" t="shared" si="36" ref="G130:L130">G131+G132+G133</f>
        <v>14525521</v>
      </c>
      <c r="H130" s="26">
        <f t="shared" si="36"/>
        <v>12027171</v>
      </c>
      <c r="I130" s="26">
        <f t="shared" si="36"/>
        <v>2498350</v>
      </c>
      <c r="J130" s="26">
        <f t="shared" si="36"/>
        <v>0</v>
      </c>
      <c r="K130" s="26">
        <f t="shared" si="36"/>
        <v>0</v>
      </c>
      <c r="L130" s="26">
        <f t="shared" si="36"/>
        <v>0</v>
      </c>
      <c r="M130" s="82"/>
    </row>
    <row r="131" spans="1:13" ht="21.75" customHeight="1">
      <c r="A131" s="117"/>
      <c r="B131" s="99"/>
      <c r="C131" s="102"/>
      <c r="D131" s="120"/>
      <c r="E131" s="102"/>
      <c r="F131" s="16" t="s">
        <v>13</v>
      </c>
      <c r="G131" s="26">
        <f>H131+I131+J131+K131+L131</f>
        <v>977901</v>
      </c>
      <c r="H131" s="26">
        <v>900000</v>
      </c>
      <c r="I131" s="26">
        <v>77901</v>
      </c>
      <c r="J131" s="26">
        <v>0</v>
      </c>
      <c r="K131" s="26">
        <v>0</v>
      </c>
      <c r="L131" s="26">
        <v>0</v>
      </c>
      <c r="M131" s="82"/>
    </row>
    <row r="132" spans="1:13" ht="21.75" customHeight="1">
      <c r="A132" s="117"/>
      <c r="B132" s="99"/>
      <c r="C132" s="102"/>
      <c r="D132" s="120"/>
      <c r="E132" s="102"/>
      <c r="F132" s="16" t="s">
        <v>14</v>
      </c>
      <c r="G132" s="26">
        <f>H132+I132+J132+K132+L132</f>
        <v>9349858.94</v>
      </c>
      <c r="H132" s="26">
        <v>7685537</v>
      </c>
      <c r="I132" s="26">
        <f>464321.94+1200000</f>
        <v>1664321.94</v>
      </c>
      <c r="J132" s="26">
        <v>0</v>
      </c>
      <c r="K132" s="26">
        <v>0</v>
      </c>
      <c r="L132" s="26">
        <v>0</v>
      </c>
      <c r="M132" s="82"/>
    </row>
    <row r="133" spans="1:13" ht="21.75" customHeight="1">
      <c r="A133" s="118"/>
      <c r="B133" s="100"/>
      <c r="C133" s="102"/>
      <c r="D133" s="121"/>
      <c r="E133" s="106"/>
      <c r="F133" s="16" t="s">
        <v>15</v>
      </c>
      <c r="G133" s="26">
        <f>H133+I133+J133+K133+L133</f>
        <v>4197761.0600000005</v>
      </c>
      <c r="H133" s="26">
        <v>3441634</v>
      </c>
      <c r="I133" s="26">
        <v>756127.06</v>
      </c>
      <c r="J133" s="26">
        <v>0</v>
      </c>
      <c r="K133" s="26">
        <v>0</v>
      </c>
      <c r="L133" s="26">
        <v>0</v>
      </c>
      <c r="M133" s="82"/>
    </row>
    <row r="134" spans="1:25" s="35" customFormat="1" ht="21.75" customHeight="1">
      <c r="A134" s="116" t="s">
        <v>52</v>
      </c>
      <c r="B134" s="98" t="s">
        <v>169</v>
      </c>
      <c r="C134" s="101" t="s">
        <v>125</v>
      </c>
      <c r="D134" s="135" t="s">
        <v>170</v>
      </c>
      <c r="E134" s="101" t="s">
        <v>106</v>
      </c>
      <c r="F134" s="16" t="s">
        <v>12</v>
      </c>
      <c r="G134" s="26">
        <f aca="true" t="shared" si="37" ref="G134:L134">G135+G136+G137</f>
        <v>21151290</v>
      </c>
      <c r="H134" s="26">
        <f t="shared" si="37"/>
        <v>0</v>
      </c>
      <c r="I134" s="26">
        <f t="shared" si="37"/>
        <v>21151290</v>
      </c>
      <c r="J134" s="26">
        <f t="shared" si="37"/>
        <v>0</v>
      </c>
      <c r="K134" s="26">
        <f t="shared" si="37"/>
        <v>0</v>
      </c>
      <c r="L134" s="26">
        <f t="shared" si="37"/>
        <v>0</v>
      </c>
      <c r="M134" s="82"/>
      <c r="Y134" s="141"/>
    </row>
    <row r="135" spans="1:25" s="35" customFormat="1" ht="21.75" customHeight="1">
      <c r="A135" s="117"/>
      <c r="B135" s="99"/>
      <c r="C135" s="102"/>
      <c r="D135" s="136"/>
      <c r="E135" s="102"/>
      <c r="F135" s="16" t="s">
        <v>13</v>
      </c>
      <c r="G135" s="26">
        <f>H135+I135+J135+K135+L135</f>
        <v>851660</v>
      </c>
      <c r="H135" s="26">
        <v>0</v>
      </c>
      <c r="I135" s="26">
        <f>20320+351340+480000</f>
        <v>851660</v>
      </c>
      <c r="J135" s="26">
        <v>0</v>
      </c>
      <c r="K135" s="26">
        <v>0</v>
      </c>
      <c r="L135" s="26">
        <v>0</v>
      </c>
      <c r="M135" s="82"/>
      <c r="O135" s="36">
        <f>1759000+1400000+4507295+1195000</f>
        <v>8861295</v>
      </c>
      <c r="P135" s="36">
        <f>O135-N135</f>
        <v>8861295</v>
      </c>
      <c r="Y135" s="141"/>
    </row>
    <row r="136" spans="1:25" s="35" customFormat="1" ht="21.75" customHeight="1">
      <c r="A136" s="117"/>
      <c r="B136" s="99"/>
      <c r="C136" s="102"/>
      <c r="D136" s="136"/>
      <c r="E136" s="102"/>
      <c r="F136" s="16" t="s">
        <v>14</v>
      </c>
      <c r="G136" s="26">
        <f>H136+I136+J136+K136+L136</f>
        <v>405992.6</v>
      </c>
      <c r="H136" s="26">
        <v>0</v>
      </c>
      <c r="I136" s="26">
        <v>405992.6</v>
      </c>
      <c r="J136" s="26">
        <v>0</v>
      </c>
      <c r="K136" s="26">
        <v>0</v>
      </c>
      <c r="L136" s="26">
        <v>0</v>
      </c>
      <c r="M136" s="82"/>
      <c r="P136" s="36"/>
      <c r="Y136" s="141"/>
    </row>
    <row r="137" spans="1:25" s="35" customFormat="1" ht="21.75" customHeight="1">
      <c r="A137" s="118"/>
      <c r="B137" s="100"/>
      <c r="C137" s="106"/>
      <c r="D137" s="137"/>
      <c r="E137" s="106"/>
      <c r="F137" s="16" t="s">
        <v>15</v>
      </c>
      <c r="G137" s="26">
        <f>H137+I137+J137+K137+L137</f>
        <v>19893637.4</v>
      </c>
      <c r="H137" s="26">
        <v>0</v>
      </c>
      <c r="I137" s="26">
        <v>19893637.4</v>
      </c>
      <c r="J137" s="26">
        <v>0</v>
      </c>
      <c r="K137" s="26">
        <v>0</v>
      </c>
      <c r="L137" s="26">
        <v>0</v>
      </c>
      <c r="M137" s="82"/>
      <c r="N137" s="37"/>
      <c r="Y137" s="141"/>
    </row>
    <row r="138" spans="1:13" ht="21.75" customHeight="1">
      <c r="A138" s="116" t="s">
        <v>54</v>
      </c>
      <c r="B138" s="98" t="s">
        <v>166</v>
      </c>
      <c r="C138" s="101" t="s">
        <v>125</v>
      </c>
      <c r="D138" s="119" t="s">
        <v>129</v>
      </c>
      <c r="E138" s="101" t="s">
        <v>106</v>
      </c>
      <c r="F138" s="16" t="s">
        <v>12</v>
      </c>
      <c r="G138" s="26">
        <f aca="true" t="shared" si="38" ref="G138:L138">G139+G140+G141</f>
        <v>676415</v>
      </c>
      <c r="H138" s="26">
        <f t="shared" si="38"/>
        <v>0</v>
      </c>
      <c r="I138" s="26">
        <f t="shared" si="38"/>
        <v>676415</v>
      </c>
      <c r="J138" s="26">
        <f t="shared" si="38"/>
        <v>0</v>
      </c>
      <c r="K138" s="26">
        <f t="shared" si="38"/>
        <v>0</v>
      </c>
      <c r="L138" s="26">
        <f t="shared" si="38"/>
        <v>0</v>
      </c>
      <c r="M138" s="82"/>
    </row>
    <row r="139" spans="1:13" ht="21.75" customHeight="1">
      <c r="A139" s="117"/>
      <c r="B139" s="99"/>
      <c r="C139" s="102"/>
      <c r="D139" s="120"/>
      <c r="E139" s="102"/>
      <c r="F139" s="16" t="s">
        <v>13</v>
      </c>
      <c r="G139" s="26">
        <f>H139+I139+J139+K139+L139</f>
        <v>676415</v>
      </c>
      <c r="H139" s="26">
        <v>0</v>
      </c>
      <c r="I139" s="26">
        <v>676415</v>
      </c>
      <c r="J139" s="26">
        <v>0</v>
      </c>
      <c r="K139" s="26">
        <v>0</v>
      </c>
      <c r="L139" s="26">
        <v>0</v>
      </c>
      <c r="M139" s="82"/>
    </row>
    <row r="140" spans="1:13" ht="21.75" customHeight="1">
      <c r="A140" s="117"/>
      <c r="B140" s="99"/>
      <c r="C140" s="102"/>
      <c r="D140" s="120"/>
      <c r="E140" s="102"/>
      <c r="F140" s="16" t="s">
        <v>14</v>
      </c>
      <c r="G140" s="26">
        <f>H140+I140+J140+K140+L140</f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82"/>
    </row>
    <row r="141" spans="1:13" ht="21.75" customHeight="1">
      <c r="A141" s="118"/>
      <c r="B141" s="100"/>
      <c r="C141" s="102"/>
      <c r="D141" s="121"/>
      <c r="E141" s="106"/>
      <c r="F141" s="16" t="s">
        <v>15</v>
      </c>
      <c r="G141" s="26">
        <f>H141+I141+J141+K141+L141</f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122"/>
    </row>
    <row r="142" spans="1:13" ht="21.75" customHeight="1">
      <c r="A142" s="116" t="s">
        <v>84</v>
      </c>
      <c r="B142" s="98" t="s">
        <v>53</v>
      </c>
      <c r="C142" s="101" t="s">
        <v>125</v>
      </c>
      <c r="D142" s="119" t="s">
        <v>131</v>
      </c>
      <c r="E142" s="101" t="s">
        <v>106</v>
      </c>
      <c r="F142" s="16" t="s">
        <v>12</v>
      </c>
      <c r="G142" s="26">
        <f aca="true" t="shared" si="39" ref="G142:L142">G143+G144+G145</f>
        <v>3700622.2800000003</v>
      </c>
      <c r="H142" s="26">
        <f t="shared" si="39"/>
        <v>547300</v>
      </c>
      <c r="I142" s="26">
        <f t="shared" si="39"/>
        <v>708294.28</v>
      </c>
      <c r="J142" s="26">
        <f t="shared" si="39"/>
        <v>783340</v>
      </c>
      <c r="K142" s="26">
        <f t="shared" si="39"/>
        <v>814538</v>
      </c>
      <c r="L142" s="26">
        <f t="shared" si="39"/>
        <v>847150</v>
      </c>
      <c r="M142" s="81" t="s">
        <v>120</v>
      </c>
    </row>
    <row r="143" spans="1:13" ht="21.75" customHeight="1">
      <c r="A143" s="117"/>
      <c r="B143" s="99"/>
      <c r="C143" s="102"/>
      <c r="D143" s="120"/>
      <c r="E143" s="102"/>
      <c r="F143" s="16" t="s">
        <v>13</v>
      </c>
      <c r="G143" s="26">
        <f>H143+I143+J143+K143+L143</f>
        <v>2528402.2800000003</v>
      </c>
      <c r="H143" s="26">
        <v>408000</v>
      </c>
      <c r="I143" s="26">
        <f>433440+44154.28</f>
        <v>477594.28</v>
      </c>
      <c r="J143" s="26">
        <v>526320</v>
      </c>
      <c r="K143" s="26">
        <v>547288</v>
      </c>
      <c r="L143" s="26">
        <v>569200</v>
      </c>
      <c r="M143" s="82"/>
    </row>
    <row r="144" spans="1:13" ht="21.75" customHeight="1">
      <c r="A144" s="117"/>
      <c r="B144" s="99"/>
      <c r="C144" s="102"/>
      <c r="D144" s="120"/>
      <c r="E144" s="102"/>
      <c r="F144" s="16" t="s">
        <v>14</v>
      </c>
      <c r="G144" s="26">
        <f>H144+I144+J144+K144+L144</f>
        <v>1172220</v>
      </c>
      <c r="H144" s="26">
        <v>139300</v>
      </c>
      <c r="I144" s="26">
        <v>230700</v>
      </c>
      <c r="J144" s="26">
        <v>257020</v>
      </c>
      <c r="K144" s="26">
        <v>267250</v>
      </c>
      <c r="L144" s="26">
        <v>277950</v>
      </c>
      <c r="M144" s="82"/>
    </row>
    <row r="145" spans="1:13" ht="21.75" customHeight="1">
      <c r="A145" s="118"/>
      <c r="B145" s="100"/>
      <c r="C145" s="102"/>
      <c r="D145" s="121"/>
      <c r="E145" s="106"/>
      <c r="F145" s="16" t="s">
        <v>15</v>
      </c>
      <c r="G145" s="26">
        <f>H145+I145+J145+K145+L145</f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122"/>
    </row>
    <row r="146" spans="1:13" ht="21.75" customHeight="1">
      <c r="A146" s="116" t="s">
        <v>158</v>
      </c>
      <c r="B146" s="98" t="s">
        <v>88</v>
      </c>
      <c r="C146" s="101" t="s">
        <v>125</v>
      </c>
      <c r="D146" s="119" t="s">
        <v>139</v>
      </c>
      <c r="E146" s="101" t="s">
        <v>106</v>
      </c>
      <c r="F146" s="16" t="s">
        <v>12</v>
      </c>
      <c r="G146" s="26">
        <f aca="true" t="shared" si="40" ref="G146:L146">G147+G148+G149</f>
        <v>7318184.9</v>
      </c>
      <c r="H146" s="26">
        <f t="shared" si="40"/>
        <v>104312.9</v>
      </c>
      <c r="I146" s="26">
        <f t="shared" si="40"/>
        <v>1803468</v>
      </c>
      <c r="J146" s="26">
        <f t="shared" si="40"/>
        <v>1803468</v>
      </c>
      <c r="K146" s="26">
        <f t="shared" si="40"/>
        <v>1803468</v>
      </c>
      <c r="L146" s="26">
        <f t="shared" si="40"/>
        <v>1803468</v>
      </c>
      <c r="M146" s="81" t="s">
        <v>172</v>
      </c>
    </row>
    <row r="147" spans="1:14" ht="21.75" customHeight="1">
      <c r="A147" s="117"/>
      <c r="B147" s="99"/>
      <c r="C147" s="102"/>
      <c r="D147" s="120"/>
      <c r="E147" s="102"/>
      <c r="F147" s="16" t="s">
        <v>13</v>
      </c>
      <c r="G147" s="26">
        <f>H147+I147+J147+K147+L147</f>
        <v>3711248.9</v>
      </c>
      <c r="H147" s="26">
        <v>104312.9</v>
      </c>
      <c r="I147" s="26">
        <f>500000+401734</f>
        <v>901734</v>
      </c>
      <c r="J147" s="26">
        <v>901734</v>
      </c>
      <c r="K147" s="26">
        <v>901734</v>
      </c>
      <c r="L147" s="26">
        <v>901734</v>
      </c>
      <c r="M147" s="82"/>
      <c r="N147" s="13"/>
    </row>
    <row r="148" spans="1:13" ht="21.75" customHeight="1">
      <c r="A148" s="117"/>
      <c r="B148" s="99"/>
      <c r="C148" s="102"/>
      <c r="D148" s="120"/>
      <c r="E148" s="102"/>
      <c r="F148" s="16" t="s">
        <v>14</v>
      </c>
      <c r="G148" s="26">
        <f>H148+I148+J148+K148+L148</f>
        <v>3606936</v>
      </c>
      <c r="H148" s="26"/>
      <c r="I148" s="26">
        <v>901734</v>
      </c>
      <c r="J148" s="26">
        <v>901734</v>
      </c>
      <c r="K148" s="26">
        <v>901734</v>
      </c>
      <c r="L148" s="26">
        <v>901734</v>
      </c>
      <c r="M148" s="82"/>
    </row>
    <row r="149" spans="1:13" ht="21.75" customHeight="1">
      <c r="A149" s="118"/>
      <c r="B149" s="100"/>
      <c r="C149" s="102"/>
      <c r="D149" s="121"/>
      <c r="E149" s="106"/>
      <c r="F149" s="16" t="s">
        <v>15</v>
      </c>
      <c r="G149" s="26">
        <f>H149+I149+J149+K149+L149</f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122"/>
    </row>
    <row r="150" spans="1:13" ht="21.75" customHeight="1">
      <c r="A150" s="116" t="s">
        <v>164</v>
      </c>
      <c r="B150" s="98" t="s">
        <v>163</v>
      </c>
      <c r="C150" s="101" t="s">
        <v>125</v>
      </c>
      <c r="D150" s="119" t="s">
        <v>139</v>
      </c>
      <c r="E150" s="101" t="s">
        <v>106</v>
      </c>
      <c r="F150" s="16" t="s">
        <v>12</v>
      </c>
      <c r="G150" s="26">
        <f aca="true" t="shared" si="41" ref="G150:L150">G151+G152+G153</f>
        <v>5901276.970000001</v>
      </c>
      <c r="H150" s="26">
        <f t="shared" si="41"/>
        <v>2568957</v>
      </c>
      <c r="I150" s="26">
        <f t="shared" si="41"/>
        <v>1360722.97</v>
      </c>
      <c r="J150" s="26">
        <f t="shared" si="41"/>
        <v>257165</v>
      </c>
      <c r="K150" s="26">
        <f t="shared" si="41"/>
        <v>857216</v>
      </c>
      <c r="L150" s="26">
        <f t="shared" si="41"/>
        <v>857216</v>
      </c>
      <c r="M150" s="81" t="s">
        <v>165</v>
      </c>
    </row>
    <row r="151" spans="1:14" ht="21.75" customHeight="1">
      <c r="A151" s="117"/>
      <c r="B151" s="99"/>
      <c r="C151" s="102"/>
      <c r="D151" s="120"/>
      <c r="E151" s="102"/>
      <c r="F151" s="16" t="s">
        <v>13</v>
      </c>
      <c r="G151" s="26">
        <f>H151+I151+J151+K151+L151</f>
        <v>2300398.99</v>
      </c>
      <c r="H151" s="26">
        <v>770687.1</v>
      </c>
      <c r="I151" s="26">
        <f>670000-411783.11+500000</f>
        <v>758216.89</v>
      </c>
      <c r="J151" s="26">
        <v>257165</v>
      </c>
      <c r="K151" s="26">
        <v>257165</v>
      </c>
      <c r="L151" s="26">
        <v>257165</v>
      </c>
      <c r="M151" s="82"/>
      <c r="N151" s="13"/>
    </row>
    <row r="152" spans="1:13" ht="21.75" customHeight="1">
      <c r="A152" s="117"/>
      <c r="B152" s="99"/>
      <c r="C152" s="102"/>
      <c r="D152" s="120"/>
      <c r="E152" s="102"/>
      <c r="F152" s="16" t="s">
        <v>14</v>
      </c>
      <c r="G152" s="26">
        <f>H152+I152+J152+K152+L152</f>
        <v>3600877.98</v>
      </c>
      <c r="H152" s="26">
        <v>1798269.9</v>
      </c>
      <c r="I152" s="26">
        <v>602506.08</v>
      </c>
      <c r="J152" s="26">
        <f>600051-600051</f>
        <v>0</v>
      </c>
      <c r="K152" s="26">
        <v>600051</v>
      </c>
      <c r="L152" s="26">
        <v>600051</v>
      </c>
      <c r="M152" s="82"/>
    </row>
    <row r="153" spans="1:13" ht="21.75" customHeight="1">
      <c r="A153" s="118"/>
      <c r="B153" s="100"/>
      <c r="C153" s="102"/>
      <c r="D153" s="121"/>
      <c r="E153" s="106"/>
      <c r="F153" s="16" t="s">
        <v>15</v>
      </c>
      <c r="G153" s="26">
        <f>H153+I153+J153+K153+L153</f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122"/>
    </row>
    <row r="154" spans="1:13" ht="21.75" customHeight="1">
      <c r="A154" s="75"/>
      <c r="B154" s="98" t="s">
        <v>90</v>
      </c>
      <c r="C154" s="101" t="s">
        <v>125</v>
      </c>
      <c r="D154" s="135" t="s">
        <v>156</v>
      </c>
      <c r="E154" s="101" t="s">
        <v>106</v>
      </c>
      <c r="F154" s="16" t="s">
        <v>12</v>
      </c>
      <c r="G154" s="26">
        <f>G155+G156+G157</f>
        <v>227000</v>
      </c>
      <c r="H154" s="26">
        <v>0</v>
      </c>
      <c r="I154" s="26">
        <f>I155+I156+I157</f>
        <v>0</v>
      </c>
      <c r="J154" s="26">
        <f>J155+J156+J157</f>
        <v>0</v>
      </c>
      <c r="K154" s="26">
        <v>0</v>
      </c>
      <c r="L154" s="26">
        <f>L155+L156+L157</f>
        <v>0</v>
      </c>
      <c r="M154" s="81" t="s">
        <v>171</v>
      </c>
    </row>
    <row r="155" spans="1:13" ht="21.75" customHeight="1">
      <c r="A155" s="75" t="s">
        <v>167</v>
      </c>
      <c r="B155" s="99"/>
      <c r="C155" s="102"/>
      <c r="D155" s="136"/>
      <c r="E155" s="102"/>
      <c r="F155" s="16" t="s">
        <v>13</v>
      </c>
      <c r="G155" s="26">
        <f>H155+I155+J155+K155+L155</f>
        <v>227000</v>
      </c>
      <c r="H155" s="26">
        <v>227000</v>
      </c>
      <c r="I155" s="26">
        <v>0</v>
      </c>
      <c r="J155" s="26">
        <v>0</v>
      </c>
      <c r="K155" s="26">
        <v>0</v>
      </c>
      <c r="L155" s="26">
        <v>0</v>
      </c>
      <c r="M155" s="82"/>
    </row>
    <row r="156" spans="1:13" ht="21.75" customHeight="1">
      <c r="A156" s="75"/>
      <c r="B156" s="99"/>
      <c r="C156" s="102"/>
      <c r="D156" s="136"/>
      <c r="E156" s="102"/>
      <c r="F156" s="16" t="s">
        <v>14</v>
      </c>
      <c r="G156" s="26">
        <f>H156+I156+J156+K156+L156</f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82"/>
    </row>
    <row r="157" spans="1:13" ht="21.75" customHeight="1">
      <c r="A157" s="75"/>
      <c r="B157" s="100"/>
      <c r="C157" s="102"/>
      <c r="D157" s="137"/>
      <c r="E157" s="106"/>
      <c r="F157" s="16" t="s">
        <v>15</v>
      </c>
      <c r="G157" s="26">
        <f>H157+I157+J157+K157+L157</f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82"/>
    </row>
    <row r="158" spans="1:13" ht="21.75" customHeight="1">
      <c r="A158" s="116" t="s">
        <v>168</v>
      </c>
      <c r="B158" s="98" t="s">
        <v>157</v>
      </c>
      <c r="C158" s="101" t="s">
        <v>125</v>
      </c>
      <c r="D158" s="103" t="s">
        <v>135</v>
      </c>
      <c r="E158" s="101" t="s">
        <v>106</v>
      </c>
      <c r="F158" s="16" t="s">
        <v>12</v>
      </c>
      <c r="G158" s="26">
        <f aca="true" t="shared" si="42" ref="G158:L158">G159+G160+G161</f>
        <v>77982074.95</v>
      </c>
      <c r="H158" s="26">
        <f t="shared" si="42"/>
        <v>8281288.9</v>
      </c>
      <c r="I158" s="26">
        <f t="shared" si="42"/>
        <v>16181140.54</v>
      </c>
      <c r="J158" s="26">
        <f t="shared" si="42"/>
        <v>18082205.8</v>
      </c>
      <c r="K158" s="26">
        <f t="shared" si="42"/>
        <v>17537287.4</v>
      </c>
      <c r="L158" s="26">
        <f t="shared" si="42"/>
        <v>17900152.31</v>
      </c>
      <c r="M158" s="81" t="s">
        <v>161</v>
      </c>
    </row>
    <row r="159" spans="1:13" ht="21.75" customHeight="1">
      <c r="A159" s="117"/>
      <c r="B159" s="99"/>
      <c r="C159" s="102"/>
      <c r="D159" s="104"/>
      <c r="E159" s="102"/>
      <c r="F159" s="16" t="s">
        <v>13</v>
      </c>
      <c r="G159" s="26">
        <f>H159+I159+J159+K159+L159</f>
        <v>78017.76000000001</v>
      </c>
      <c r="H159" s="26">
        <v>8281.29</v>
      </c>
      <c r="I159" s="26">
        <v>16181.139999999996</v>
      </c>
      <c r="J159" s="26">
        <f>17660.82+421.39</f>
        <v>18082.21</v>
      </c>
      <c r="K159" s="26">
        <v>17537.33</v>
      </c>
      <c r="L159" s="26">
        <v>17935.79</v>
      </c>
      <c r="M159" s="82"/>
    </row>
    <row r="160" spans="1:13" ht="21.75" customHeight="1">
      <c r="A160" s="117"/>
      <c r="B160" s="99"/>
      <c r="C160" s="102"/>
      <c r="D160" s="104"/>
      <c r="E160" s="102"/>
      <c r="F160" s="16" t="s">
        <v>14</v>
      </c>
      <c r="G160" s="26">
        <f>H160+I160+J160+K160+L160</f>
        <v>8836957.190000001</v>
      </c>
      <c r="H160" s="26">
        <f>1873906.61+1</f>
        <v>1873907.61</v>
      </c>
      <c r="I160" s="26">
        <v>1616459.4000000001</v>
      </c>
      <c r="J160" s="26">
        <v>1806423.59</v>
      </c>
      <c r="K160" s="26">
        <v>1751950.07</v>
      </c>
      <c r="L160" s="26">
        <v>1788216.52</v>
      </c>
      <c r="M160" s="82"/>
    </row>
    <row r="161" spans="1:13" ht="21.75" customHeight="1">
      <c r="A161" s="118"/>
      <c r="B161" s="100"/>
      <c r="C161" s="102"/>
      <c r="D161" s="105"/>
      <c r="E161" s="106"/>
      <c r="F161" s="16" t="s">
        <v>15</v>
      </c>
      <c r="G161" s="26">
        <f>H161+I161+J161+K161+L161</f>
        <v>69067100</v>
      </c>
      <c r="H161" s="26">
        <v>6399100</v>
      </c>
      <c r="I161" s="26">
        <v>14548499.999999998</v>
      </c>
      <c r="J161" s="26">
        <v>16257700</v>
      </c>
      <c r="K161" s="26">
        <v>15767800</v>
      </c>
      <c r="L161" s="26">
        <v>16094000</v>
      </c>
      <c r="M161" s="122"/>
    </row>
    <row r="162" spans="1:13" ht="21.75" customHeight="1">
      <c r="A162" s="116" t="s">
        <v>178</v>
      </c>
      <c r="B162" s="98" t="s">
        <v>180</v>
      </c>
      <c r="C162" s="101" t="s">
        <v>125</v>
      </c>
      <c r="D162" s="103" t="s">
        <v>135</v>
      </c>
      <c r="E162" s="101" t="s">
        <v>106</v>
      </c>
      <c r="F162" s="16" t="s">
        <v>12</v>
      </c>
      <c r="G162" s="26">
        <f aca="true" t="shared" si="43" ref="G162:L162">G163+G164+G165</f>
        <v>12582973</v>
      </c>
      <c r="H162" s="26">
        <f t="shared" si="43"/>
        <v>0</v>
      </c>
      <c r="I162" s="26">
        <f t="shared" si="43"/>
        <v>0</v>
      </c>
      <c r="J162" s="26">
        <f t="shared" si="43"/>
        <v>4233923</v>
      </c>
      <c r="K162" s="26">
        <f t="shared" si="43"/>
        <v>4174525</v>
      </c>
      <c r="L162" s="26">
        <f t="shared" si="43"/>
        <v>4174525</v>
      </c>
      <c r="M162" s="81" t="s">
        <v>188</v>
      </c>
    </row>
    <row r="163" spans="1:13" ht="21.75" customHeight="1">
      <c r="A163" s="117"/>
      <c r="B163" s="99"/>
      <c r="C163" s="102"/>
      <c r="D163" s="104"/>
      <c r="E163" s="102"/>
      <c r="F163" s="16" t="s">
        <v>13</v>
      </c>
      <c r="G163" s="26">
        <f>H163+I163+J163+K163+L163</f>
        <v>12582973</v>
      </c>
      <c r="H163" s="26"/>
      <c r="I163" s="26"/>
      <c r="J163" s="26">
        <f>4243923-10000</f>
        <v>4233923</v>
      </c>
      <c r="K163" s="26">
        <v>4174525</v>
      </c>
      <c r="L163" s="26">
        <v>4174525</v>
      </c>
      <c r="M163" s="82"/>
    </row>
    <row r="164" spans="1:13" ht="21.75" customHeight="1">
      <c r="A164" s="117"/>
      <c r="B164" s="99"/>
      <c r="C164" s="102"/>
      <c r="D164" s="104"/>
      <c r="E164" s="102"/>
      <c r="F164" s="16" t="s">
        <v>14</v>
      </c>
      <c r="G164" s="26">
        <f>H164+I164+J164+K164+L164</f>
        <v>0</v>
      </c>
      <c r="H164" s="26"/>
      <c r="I164" s="26"/>
      <c r="J164" s="26">
        <v>0</v>
      </c>
      <c r="K164" s="26">
        <v>0</v>
      </c>
      <c r="L164" s="26">
        <v>0</v>
      </c>
      <c r="M164" s="82"/>
    </row>
    <row r="165" spans="1:13" ht="21.75" customHeight="1">
      <c r="A165" s="118"/>
      <c r="B165" s="100"/>
      <c r="C165" s="102"/>
      <c r="D165" s="105"/>
      <c r="E165" s="106"/>
      <c r="F165" s="16" t="s">
        <v>15</v>
      </c>
      <c r="G165" s="26">
        <f>H165+I165+J165+K165+L165</f>
        <v>0</v>
      </c>
      <c r="H165" s="26"/>
      <c r="I165" s="26"/>
      <c r="J165" s="26">
        <v>0</v>
      </c>
      <c r="K165" s="26">
        <v>0</v>
      </c>
      <c r="L165" s="26">
        <v>0</v>
      </c>
      <c r="M165" s="122"/>
    </row>
    <row r="166" spans="1:13" ht="21.75" customHeight="1">
      <c r="A166" s="116" t="s">
        <v>179</v>
      </c>
      <c r="B166" s="98" t="s">
        <v>181</v>
      </c>
      <c r="C166" s="101" t="s">
        <v>125</v>
      </c>
      <c r="D166" s="103" t="s">
        <v>135</v>
      </c>
      <c r="E166" s="101" t="s">
        <v>106</v>
      </c>
      <c r="F166" s="16" t="s">
        <v>12</v>
      </c>
      <c r="G166" s="26">
        <f aca="true" t="shared" si="44" ref="G166:L166">G167+G168+G169</f>
        <v>6402467</v>
      </c>
      <c r="H166" s="26">
        <f t="shared" si="44"/>
        <v>0</v>
      </c>
      <c r="I166" s="26">
        <f t="shared" si="44"/>
        <v>0</v>
      </c>
      <c r="J166" s="26">
        <f t="shared" si="44"/>
        <v>1630221</v>
      </c>
      <c r="K166" s="26">
        <f t="shared" si="44"/>
        <v>2386123</v>
      </c>
      <c r="L166" s="26">
        <f t="shared" si="44"/>
        <v>2386123</v>
      </c>
      <c r="M166" s="81" t="s">
        <v>184</v>
      </c>
    </row>
    <row r="167" spans="1:13" ht="21.75" customHeight="1">
      <c r="A167" s="117"/>
      <c r="B167" s="99"/>
      <c r="C167" s="102"/>
      <c r="D167" s="104"/>
      <c r="E167" s="102"/>
      <c r="F167" s="16" t="s">
        <v>13</v>
      </c>
      <c r="G167" s="26">
        <f>H167+I167+J167+K167+L167</f>
        <v>6402467</v>
      </c>
      <c r="H167" s="26"/>
      <c r="I167" s="26"/>
      <c r="J167" s="26">
        <v>1630221</v>
      </c>
      <c r="K167" s="26">
        <v>2386123</v>
      </c>
      <c r="L167" s="26">
        <v>2386123</v>
      </c>
      <c r="M167" s="82"/>
    </row>
    <row r="168" spans="1:13" ht="21.75" customHeight="1">
      <c r="A168" s="117"/>
      <c r="B168" s="99"/>
      <c r="C168" s="102"/>
      <c r="D168" s="104"/>
      <c r="E168" s="102"/>
      <c r="F168" s="16" t="s">
        <v>14</v>
      </c>
      <c r="G168" s="26">
        <f>H168+I168+J168+K168+L168</f>
        <v>0</v>
      </c>
      <c r="H168" s="26"/>
      <c r="I168" s="26"/>
      <c r="J168" s="26">
        <v>0</v>
      </c>
      <c r="K168" s="26">
        <v>0</v>
      </c>
      <c r="L168" s="26">
        <v>0</v>
      </c>
      <c r="M168" s="82"/>
    </row>
    <row r="169" spans="1:13" ht="21.75" customHeight="1">
      <c r="A169" s="118"/>
      <c r="B169" s="100"/>
      <c r="C169" s="102"/>
      <c r="D169" s="105"/>
      <c r="E169" s="106"/>
      <c r="F169" s="16" t="s">
        <v>15</v>
      </c>
      <c r="G169" s="26">
        <f>H169+I169+J169+K169+L169</f>
        <v>0</v>
      </c>
      <c r="H169" s="26"/>
      <c r="I169" s="26"/>
      <c r="J169" s="26">
        <v>0</v>
      </c>
      <c r="K169" s="26">
        <v>0</v>
      </c>
      <c r="L169" s="26">
        <v>0</v>
      </c>
      <c r="M169" s="122"/>
    </row>
    <row r="170" spans="1:13" ht="22.5" customHeight="1">
      <c r="A170" s="107" t="s">
        <v>55</v>
      </c>
      <c r="B170" s="110" t="s">
        <v>147</v>
      </c>
      <c r="C170" s="113" t="s">
        <v>125</v>
      </c>
      <c r="D170" s="134" t="s">
        <v>122</v>
      </c>
      <c r="E170" s="113" t="s">
        <v>106</v>
      </c>
      <c r="F170" s="39" t="s">
        <v>12</v>
      </c>
      <c r="G170" s="40">
        <f aca="true" t="shared" si="45" ref="G170:L170">G171+G172+G173</f>
        <v>291223056.31</v>
      </c>
      <c r="H170" s="40">
        <f>H171+H172+H173</f>
        <v>21453187.27</v>
      </c>
      <c r="I170" s="40">
        <f>I171+I172+I173</f>
        <v>27523645.13</v>
      </c>
      <c r="J170" s="40">
        <f>J171+J172+J173</f>
        <v>171170105.09</v>
      </c>
      <c r="K170" s="40">
        <f t="shared" si="45"/>
        <v>59050172.82000001</v>
      </c>
      <c r="L170" s="40">
        <f t="shared" si="45"/>
        <v>12025946</v>
      </c>
      <c r="M170" s="126"/>
    </row>
    <row r="171" spans="1:13" ht="22.5" customHeight="1">
      <c r="A171" s="108"/>
      <c r="B171" s="111"/>
      <c r="C171" s="114"/>
      <c r="D171" s="139"/>
      <c r="E171" s="114"/>
      <c r="F171" s="39" t="s">
        <v>13</v>
      </c>
      <c r="G171" s="40">
        <f>H171+I171+J171+K171+L171</f>
        <v>63882840.11999999</v>
      </c>
      <c r="H171" s="40">
        <f>H175+H183+H187+H191+H195+H203+H207+H199+H179</f>
        <v>9911340.129999999</v>
      </c>
      <c r="I171" s="40">
        <f>I175+I183+I187+I191+I195+I203+I207+I199+I179</f>
        <v>12393058.969999999</v>
      </c>
      <c r="J171" s="40">
        <f>J175+J183+J187+J191+J195+J203+J207+J199+J179</f>
        <v>18969882.86</v>
      </c>
      <c r="K171" s="40">
        <f>K175+K183+K187+K191+K195+K203+K207+K199+K179</f>
        <v>10582612.16</v>
      </c>
      <c r="L171" s="40">
        <f>L175+L183+L187+L191+L195+L203+L207+L199+L179</f>
        <v>12025946</v>
      </c>
      <c r="M171" s="127"/>
    </row>
    <row r="172" spans="1:13" ht="22.5" customHeight="1">
      <c r="A172" s="108"/>
      <c r="B172" s="111"/>
      <c r="C172" s="114"/>
      <c r="D172" s="139"/>
      <c r="E172" s="114"/>
      <c r="F172" s="39" t="s">
        <v>14</v>
      </c>
      <c r="G172" s="40">
        <f>H172+I172+J172+K172+L172</f>
        <v>64278616.190000005</v>
      </c>
      <c r="H172" s="40">
        <f aca="true" t="shared" si="46" ref="H172:L173">H176+H184+H188+H192+H196+H204+H208+H200+H180</f>
        <v>11541847.14</v>
      </c>
      <c r="I172" s="40">
        <f t="shared" si="46"/>
        <v>15130586.16</v>
      </c>
      <c r="J172" s="40">
        <f t="shared" si="46"/>
        <v>15445022.23</v>
      </c>
      <c r="K172" s="40">
        <f t="shared" si="46"/>
        <v>22161160.660000004</v>
      </c>
      <c r="L172" s="40">
        <f t="shared" si="46"/>
        <v>0</v>
      </c>
      <c r="M172" s="127"/>
    </row>
    <row r="173" spans="1:26" ht="22.5" customHeight="1">
      <c r="A173" s="109"/>
      <c r="B173" s="112"/>
      <c r="C173" s="115"/>
      <c r="D173" s="140"/>
      <c r="E173" s="115"/>
      <c r="F173" s="39" t="s">
        <v>15</v>
      </c>
      <c r="G173" s="40">
        <f>H173+I173+J173+K173+L173</f>
        <v>163061600</v>
      </c>
      <c r="H173" s="40">
        <f t="shared" si="46"/>
        <v>0</v>
      </c>
      <c r="I173" s="40">
        <f t="shared" si="46"/>
        <v>0</v>
      </c>
      <c r="J173" s="40">
        <f t="shared" si="46"/>
        <v>136755200</v>
      </c>
      <c r="K173" s="40">
        <f t="shared" si="46"/>
        <v>26306400</v>
      </c>
      <c r="L173" s="40">
        <f t="shared" si="46"/>
        <v>0</v>
      </c>
      <c r="M173" s="128"/>
      <c r="Y173" s="138" t="s">
        <v>87</v>
      </c>
      <c r="Z173" s="3"/>
    </row>
    <row r="174" spans="1:25" ht="21.75" customHeight="1">
      <c r="A174" s="116" t="s">
        <v>56</v>
      </c>
      <c r="B174" s="98" t="s">
        <v>77</v>
      </c>
      <c r="C174" s="101" t="s">
        <v>125</v>
      </c>
      <c r="D174" s="103" t="s">
        <v>138</v>
      </c>
      <c r="E174" s="101" t="s">
        <v>106</v>
      </c>
      <c r="F174" s="16" t="s">
        <v>12</v>
      </c>
      <c r="G174" s="26">
        <f aca="true" t="shared" si="47" ref="G174:L174">G175+G176+G177</f>
        <v>58843858.81999999</v>
      </c>
      <c r="H174" s="26">
        <f t="shared" si="47"/>
        <v>14048396.27</v>
      </c>
      <c r="I174" s="26">
        <f t="shared" si="47"/>
        <v>23290645.13</v>
      </c>
      <c r="J174" s="26">
        <f t="shared" si="47"/>
        <v>10345307.42</v>
      </c>
      <c r="K174" s="26">
        <f t="shared" si="47"/>
        <v>3851130</v>
      </c>
      <c r="L174" s="26">
        <f t="shared" si="47"/>
        <v>7308380</v>
      </c>
      <c r="M174" s="82" t="s">
        <v>151</v>
      </c>
      <c r="Y174" s="138"/>
    </row>
    <row r="175" spans="1:25" ht="21.75" customHeight="1">
      <c r="A175" s="117"/>
      <c r="B175" s="99"/>
      <c r="C175" s="102"/>
      <c r="D175" s="104"/>
      <c r="E175" s="102"/>
      <c r="F175" s="16" t="s">
        <v>13</v>
      </c>
      <c r="G175" s="26">
        <f>H175+I175+J175+K175+L175</f>
        <v>35642479.519999996</v>
      </c>
      <c r="H175" s="26">
        <f>4000000-H131-H111+334873.66+53210+571000.3+10000+159070+599000+565000-21070.83</f>
        <v>4977603.13</v>
      </c>
      <c r="I175" s="26">
        <f>7673601.18+600000+400000-13542.21+500000</f>
        <v>9160058.969999999</v>
      </c>
      <c r="J175" s="26">
        <f>525000+1263497+500000+1500000+500000+500000+1510000+600000+2083259.42+25778.4+308292+184790+'[11]иные 10.06.2022'!$N$8+'[11]иные 10.06.2022'!$N$15+'[11]иные 10.06.2022'!$BC$18+'[11]иные 10.06.2022'!$AY$16-1263497</f>
        <v>10345307.42</v>
      </c>
      <c r="K175" s="26">
        <f>975565+1375565+1000000+500000</f>
        <v>3851130</v>
      </c>
      <c r="L175" s="26">
        <f>1975565+2375565+1457250+1000000+500000</f>
        <v>7308380</v>
      </c>
      <c r="M175" s="82"/>
      <c r="O175" s="3">
        <f>1759000+1400000+4507295+1195000</f>
        <v>8861295</v>
      </c>
      <c r="P175" s="3">
        <f>O175-N175</f>
        <v>8861295</v>
      </c>
      <c r="Y175" s="138"/>
    </row>
    <row r="176" spans="1:25" ht="21.75" customHeight="1">
      <c r="A176" s="117"/>
      <c r="B176" s="99"/>
      <c r="C176" s="102"/>
      <c r="D176" s="104"/>
      <c r="E176" s="102"/>
      <c r="F176" s="16" t="s">
        <v>14</v>
      </c>
      <c r="G176" s="26">
        <f>H176+I176+J176+K176+L176</f>
        <v>23201379.3</v>
      </c>
      <c r="H176" s="26">
        <f>3714220.8+5356572.34</f>
        <v>9070793.14</v>
      </c>
      <c r="I176" s="26">
        <v>14130586.16</v>
      </c>
      <c r="J176" s="26">
        <f>1500000-1500000</f>
        <v>0</v>
      </c>
      <c r="K176" s="26">
        <v>0</v>
      </c>
      <c r="L176" s="26">
        <v>0</v>
      </c>
      <c r="M176" s="82"/>
      <c r="P176" s="3"/>
      <c r="Y176" s="138"/>
    </row>
    <row r="177" spans="1:25" ht="21.75" customHeight="1">
      <c r="A177" s="118"/>
      <c r="B177" s="100"/>
      <c r="C177" s="102"/>
      <c r="D177" s="105"/>
      <c r="E177" s="106"/>
      <c r="F177" s="16" t="s">
        <v>15</v>
      </c>
      <c r="G177" s="26">
        <f>H177+I177+J177+K177+L177</f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82"/>
      <c r="N177" s="14"/>
      <c r="Y177" s="138"/>
    </row>
    <row r="178" spans="1:25" ht="21.75" customHeight="1">
      <c r="A178" s="116" t="s">
        <v>57</v>
      </c>
      <c r="B178" s="98" t="s">
        <v>194</v>
      </c>
      <c r="C178" s="101" t="s">
        <v>125</v>
      </c>
      <c r="D178" s="103" t="s">
        <v>138</v>
      </c>
      <c r="E178" s="101" t="s">
        <v>106</v>
      </c>
      <c r="F178" s="16" t="s">
        <v>12</v>
      </c>
      <c r="G178" s="26">
        <f aca="true" t="shared" si="48" ref="G178:L178">G179+G180+G181</f>
        <v>207238708.49</v>
      </c>
      <c r="H178" s="26">
        <f t="shared" si="48"/>
        <v>0</v>
      </c>
      <c r="I178" s="26">
        <f t="shared" si="48"/>
        <v>0</v>
      </c>
      <c r="J178" s="26">
        <f t="shared" si="48"/>
        <v>157057231.67000002</v>
      </c>
      <c r="K178" s="26">
        <f t="shared" si="48"/>
        <v>50181476.82000001</v>
      </c>
      <c r="L178" s="26">
        <f t="shared" si="48"/>
        <v>0</v>
      </c>
      <c r="M178" s="82"/>
      <c r="Y178" s="138"/>
    </row>
    <row r="179" spans="1:25" ht="21.75" customHeight="1">
      <c r="A179" s="117"/>
      <c r="B179" s="99"/>
      <c r="C179" s="102"/>
      <c r="D179" s="104"/>
      <c r="E179" s="102"/>
      <c r="F179" s="16" t="s">
        <v>13</v>
      </c>
      <c r="G179" s="26">
        <f>H179+I179+J179+K179+L179</f>
        <v>6820925.6</v>
      </c>
      <c r="H179" s="26">
        <v>0</v>
      </c>
      <c r="I179" s="26">
        <v>0</v>
      </c>
      <c r="J179" s="26">
        <f>718810.2+624075.24+3764124</f>
        <v>5107009.4399999995</v>
      </c>
      <c r="K179" s="26">
        <v>1713916.16</v>
      </c>
      <c r="L179" s="26">
        <v>0</v>
      </c>
      <c r="M179" s="82"/>
      <c r="O179" s="3">
        <f>1759000+1400000+4507295+1195000</f>
        <v>8861295</v>
      </c>
      <c r="P179" s="3">
        <f>O179-N179</f>
        <v>8861295</v>
      </c>
      <c r="Y179" s="138"/>
    </row>
    <row r="180" spans="1:25" ht="21.75" customHeight="1">
      <c r="A180" s="117"/>
      <c r="B180" s="99"/>
      <c r="C180" s="102"/>
      <c r="D180" s="104"/>
      <c r="E180" s="102"/>
      <c r="F180" s="16" t="s">
        <v>14</v>
      </c>
      <c r="G180" s="26">
        <f>H180+I180+J180+K180+L180</f>
        <v>37356182.89</v>
      </c>
      <c r="H180" s="26">
        <v>0</v>
      </c>
      <c r="I180" s="26">
        <v>0</v>
      </c>
      <c r="J180" s="26">
        <f>'[5]Лист1'!$I$6+'[9]мой'!$Q$13+'[9]мой'!$Q$14</f>
        <v>15195022.23</v>
      </c>
      <c r="K180" s="26">
        <f>'[5]Лист1'!$J$5+'[5]Лист1'!$J$10+'[9]мой'!$R$7</f>
        <v>22161160.660000004</v>
      </c>
      <c r="L180" s="26">
        <v>0</v>
      </c>
      <c r="M180" s="82"/>
      <c r="P180" s="3"/>
      <c r="Y180" s="138"/>
    </row>
    <row r="181" spans="1:25" ht="21.75" customHeight="1">
      <c r="A181" s="118"/>
      <c r="B181" s="100"/>
      <c r="C181" s="102"/>
      <c r="D181" s="105"/>
      <c r="E181" s="106"/>
      <c r="F181" s="16" t="s">
        <v>15</v>
      </c>
      <c r="G181" s="26">
        <f>H181+I181+J181+K181+L181</f>
        <v>163061600</v>
      </c>
      <c r="H181" s="26">
        <v>0</v>
      </c>
      <c r="I181" s="26">
        <v>0</v>
      </c>
      <c r="J181" s="26">
        <f>'[5]Лист1'!$G$6+'[9]мой'!$O$13+'[9]мой'!$O$14</f>
        <v>136755200</v>
      </c>
      <c r="K181" s="26">
        <f>'[5]Лист1'!$H$5+'[9]мой'!$P$7</f>
        <v>26306400</v>
      </c>
      <c r="L181" s="26">
        <v>0</v>
      </c>
      <c r="M181" s="82"/>
      <c r="N181" s="14"/>
      <c r="Y181" s="138"/>
    </row>
    <row r="182" spans="1:25" ht="21.75" customHeight="1">
      <c r="A182" s="116" t="s">
        <v>58</v>
      </c>
      <c r="B182" s="98" t="s">
        <v>59</v>
      </c>
      <c r="C182" s="101" t="s">
        <v>125</v>
      </c>
      <c r="D182" s="135" t="s">
        <v>130</v>
      </c>
      <c r="E182" s="101" t="s">
        <v>106</v>
      </c>
      <c r="F182" s="16" t="s">
        <v>12</v>
      </c>
      <c r="G182" s="26">
        <f aca="true" t="shared" si="49" ref="G182:L182">G183+G184+G185</f>
        <v>6525000</v>
      </c>
      <c r="H182" s="26">
        <f t="shared" si="49"/>
        <v>2525000</v>
      </c>
      <c r="I182" s="26">
        <f t="shared" si="49"/>
        <v>2000000</v>
      </c>
      <c r="J182" s="26">
        <f t="shared" si="49"/>
        <v>0</v>
      </c>
      <c r="K182" s="26">
        <f t="shared" si="49"/>
        <v>1000000</v>
      </c>
      <c r="L182" s="26">
        <f t="shared" si="49"/>
        <v>1000000</v>
      </c>
      <c r="M182" s="82"/>
      <c r="N182" s="3"/>
      <c r="V182" s="3" t="e">
        <f>#REF!+#REF!+#REF!+#REF!</f>
        <v>#REF!</v>
      </c>
      <c r="Y182" s="138"/>
    </row>
    <row r="183" spans="1:25" ht="21.75" customHeight="1">
      <c r="A183" s="117"/>
      <c r="B183" s="99"/>
      <c r="C183" s="102"/>
      <c r="D183" s="136"/>
      <c r="E183" s="102"/>
      <c r="F183" s="16" t="s">
        <v>13</v>
      </c>
      <c r="G183" s="26">
        <f>H183+I183+J183+K183+L183</f>
        <v>4052500</v>
      </c>
      <c r="H183" s="26">
        <f>1000000+47250+5250</f>
        <v>1052500</v>
      </c>
      <c r="I183" s="26">
        <v>1000000</v>
      </c>
      <c r="J183" s="26">
        <v>0</v>
      </c>
      <c r="K183" s="26">
        <v>1000000</v>
      </c>
      <c r="L183" s="26">
        <v>1000000</v>
      </c>
      <c r="M183" s="82"/>
      <c r="Y183" s="138"/>
    </row>
    <row r="184" spans="1:25" ht="21.75" customHeight="1">
      <c r="A184" s="117"/>
      <c r="B184" s="99"/>
      <c r="C184" s="102"/>
      <c r="D184" s="136"/>
      <c r="E184" s="102"/>
      <c r="F184" s="16" t="s">
        <v>14</v>
      </c>
      <c r="G184" s="26">
        <f>H184+I184+J184+K184+L184</f>
        <v>2472500</v>
      </c>
      <c r="H184" s="26">
        <f>1000000+472500</f>
        <v>1472500</v>
      </c>
      <c r="I184" s="26">
        <v>1000000</v>
      </c>
      <c r="J184" s="26">
        <v>0</v>
      </c>
      <c r="K184" s="26">
        <v>0</v>
      </c>
      <c r="L184" s="26">
        <v>0</v>
      </c>
      <c r="M184" s="82"/>
      <c r="Y184" s="138"/>
    </row>
    <row r="185" spans="1:25" ht="21.75" customHeight="1">
      <c r="A185" s="118"/>
      <c r="B185" s="100"/>
      <c r="C185" s="102"/>
      <c r="D185" s="137"/>
      <c r="E185" s="106"/>
      <c r="F185" s="16" t="s">
        <v>15</v>
      </c>
      <c r="G185" s="26">
        <f>H185+I185+J185+K185+L185</f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82"/>
      <c r="Y185" s="138"/>
    </row>
    <row r="186" spans="1:25" ht="21.75" customHeight="1">
      <c r="A186" s="116" t="s">
        <v>191</v>
      </c>
      <c r="B186" s="98" t="s">
        <v>110</v>
      </c>
      <c r="C186" s="101" t="s">
        <v>125</v>
      </c>
      <c r="D186" s="103" t="s">
        <v>122</v>
      </c>
      <c r="E186" s="101" t="s">
        <v>106</v>
      </c>
      <c r="F186" s="16" t="s">
        <v>12</v>
      </c>
      <c r="G186" s="26">
        <f aca="true" t="shared" si="50" ref="G186:L186">G187+G188+G189</f>
        <v>12723773</v>
      </c>
      <c r="H186" s="26">
        <f t="shared" si="50"/>
        <v>3038075</v>
      </c>
      <c r="I186" s="26">
        <f t="shared" si="50"/>
        <v>2233000</v>
      </c>
      <c r="J186" s="26">
        <f t="shared" si="50"/>
        <v>2417566</v>
      </c>
      <c r="K186" s="26">
        <f t="shared" si="50"/>
        <v>2317566</v>
      </c>
      <c r="L186" s="26">
        <f t="shared" si="50"/>
        <v>2717566</v>
      </c>
      <c r="M186" s="82"/>
      <c r="Y186" s="138"/>
    </row>
    <row r="187" spans="1:25" ht="21.75" customHeight="1">
      <c r="A187" s="117"/>
      <c r="B187" s="99"/>
      <c r="C187" s="102"/>
      <c r="D187" s="104"/>
      <c r="E187" s="102"/>
      <c r="F187" s="16" t="s">
        <v>13</v>
      </c>
      <c r="G187" s="26">
        <f aca="true" t="shared" si="51" ref="G187:G201">H187+I187+J187+K187+L187</f>
        <v>12585698</v>
      </c>
      <c r="H187" s="26">
        <f>3200000-300000-62034+62034</f>
        <v>2900000</v>
      </c>
      <c r="I187" s="26">
        <f>1933000+300000</f>
        <v>2233000</v>
      </c>
      <c r="J187" s="26">
        <f>1127003+1186637+103926</f>
        <v>2417566</v>
      </c>
      <c r="K187" s="26">
        <f>1027003+1186637+103926</f>
        <v>2317566</v>
      </c>
      <c r="L187" s="26">
        <f>1427003+1186637+103926</f>
        <v>2717566</v>
      </c>
      <c r="M187" s="82"/>
      <c r="Y187" s="138"/>
    </row>
    <row r="188" spans="1:25" ht="21.75" customHeight="1">
      <c r="A188" s="117"/>
      <c r="B188" s="99"/>
      <c r="C188" s="102"/>
      <c r="D188" s="104"/>
      <c r="E188" s="102"/>
      <c r="F188" s="16" t="s">
        <v>14</v>
      </c>
      <c r="G188" s="26">
        <f t="shared" si="51"/>
        <v>138075</v>
      </c>
      <c r="H188" s="26">
        <v>138075</v>
      </c>
      <c r="I188" s="26">
        <v>0</v>
      </c>
      <c r="J188" s="26">
        <v>0</v>
      </c>
      <c r="K188" s="26">
        <v>0</v>
      </c>
      <c r="L188" s="26">
        <v>0</v>
      </c>
      <c r="M188" s="82"/>
      <c r="O188" s="3"/>
      <c r="Y188" s="138"/>
    </row>
    <row r="189" spans="1:25" ht="21.75" customHeight="1">
      <c r="A189" s="118"/>
      <c r="B189" s="100"/>
      <c r="C189" s="102"/>
      <c r="D189" s="105"/>
      <c r="E189" s="106"/>
      <c r="F189" s="16" t="s">
        <v>15</v>
      </c>
      <c r="G189" s="26">
        <f t="shared" si="51"/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82"/>
      <c r="O189" s="3"/>
      <c r="Y189" s="138"/>
    </row>
    <row r="190" spans="1:13" ht="21.75" customHeight="1">
      <c r="A190" s="116" t="s">
        <v>60</v>
      </c>
      <c r="B190" s="98" t="s">
        <v>61</v>
      </c>
      <c r="C190" s="101" t="s">
        <v>125</v>
      </c>
      <c r="D190" s="119" t="s">
        <v>140</v>
      </c>
      <c r="E190" s="101" t="s">
        <v>106</v>
      </c>
      <c r="F190" s="16" t="s">
        <v>12</v>
      </c>
      <c r="G190" s="26">
        <f aca="true" t="shared" si="52" ref="G190:L190">G191+G192+G193</f>
        <v>4575000</v>
      </c>
      <c r="H190" s="26">
        <f t="shared" si="52"/>
        <v>525000</v>
      </c>
      <c r="I190" s="26">
        <f t="shared" si="52"/>
        <v>0</v>
      </c>
      <c r="J190" s="26">
        <f t="shared" si="52"/>
        <v>1350000</v>
      </c>
      <c r="K190" s="26">
        <f t="shared" si="52"/>
        <v>1700000</v>
      </c>
      <c r="L190" s="26">
        <f t="shared" si="52"/>
        <v>1000000</v>
      </c>
      <c r="M190" s="82"/>
    </row>
    <row r="191" spans="1:15" ht="21.75" customHeight="1">
      <c r="A191" s="117"/>
      <c r="B191" s="99"/>
      <c r="C191" s="102"/>
      <c r="D191" s="120"/>
      <c r="E191" s="102"/>
      <c r="F191" s="16" t="s">
        <v>13</v>
      </c>
      <c r="G191" s="26">
        <f t="shared" si="51"/>
        <v>4325000</v>
      </c>
      <c r="H191" s="26">
        <f>700000+300000-475000</f>
        <v>525000</v>
      </c>
      <c r="I191" s="26">
        <v>0</v>
      </c>
      <c r="J191" s="26">
        <f>500000+600000</f>
        <v>1100000</v>
      </c>
      <c r="K191" s="26">
        <f>700000+300000+700000</f>
        <v>1700000</v>
      </c>
      <c r="L191" s="26">
        <f>700000+300000</f>
        <v>1000000</v>
      </c>
      <c r="M191" s="82"/>
      <c r="O191" s="2">
        <v>854209197.4</v>
      </c>
    </row>
    <row r="192" spans="1:15" ht="21.75" customHeight="1">
      <c r="A192" s="117"/>
      <c r="B192" s="99"/>
      <c r="C192" s="102"/>
      <c r="D192" s="120"/>
      <c r="E192" s="102"/>
      <c r="F192" s="16" t="s">
        <v>14</v>
      </c>
      <c r="G192" s="26">
        <f t="shared" si="51"/>
        <v>250000</v>
      </c>
      <c r="H192" s="26">
        <v>0</v>
      </c>
      <c r="I192" s="26">
        <v>0</v>
      </c>
      <c r="J192" s="26">
        <v>250000</v>
      </c>
      <c r="K192" s="26">
        <v>0</v>
      </c>
      <c r="L192" s="26">
        <v>0</v>
      </c>
      <c r="M192" s="82"/>
      <c r="O192" s="2">
        <v>852492090</v>
      </c>
    </row>
    <row r="193" spans="1:15" ht="21.75" customHeight="1">
      <c r="A193" s="118"/>
      <c r="B193" s="100"/>
      <c r="C193" s="102"/>
      <c r="D193" s="121"/>
      <c r="E193" s="106"/>
      <c r="F193" s="16" t="s">
        <v>15</v>
      </c>
      <c r="G193" s="26">
        <f t="shared" si="51"/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82"/>
      <c r="O193" s="2">
        <f>O191-O192</f>
        <v>1717107.3999999762</v>
      </c>
    </row>
    <row r="194" spans="1:13" s="12" customFormat="1" ht="21.75" customHeight="1">
      <c r="A194" s="116" t="s">
        <v>192</v>
      </c>
      <c r="B194" s="98" t="s">
        <v>155</v>
      </c>
      <c r="C194" s="101" t="s">
        <v>125</v>
      </c>
      <c r="D194" s="131" t="s">
        <v>156</v>
      </c>
      <c r="E194" s="101" t="s">
        <v>106</v>
      </c>
      <c r="F194" s="16" t="s">
        <v>12</v>
      </c>
      <c r="G194" s="26">
        <f aca="true" t="shared" si="53" ref="G194:L194">G195+G196+G197</f>
        <v>1316716</v>
      </c>
      <c r="H194" s="26">
        <f t="shared" si="53"/>
        <v>1316716</v>
      </c>
      <c r="I194" s="26">
        <f t="shared" si="53"/>
        <v>0</v>
      </c>
      <c r="J194" s="26">
        <f t="shared" si="53"/>
        <v>0</v>
      </c>
      <c r="K194" s="26">
        <f t="shared" si="53"/>
        <v>0</v>
      </c>
      <c r="L194" s="26">
        <f t="shared" si="53"/>
        <v>0</v>
      </c>
      <c r="M194" s="82"/>
    </row>
    <row r="195" spans="1:13" s="12" customFormat="1" ht="21.75" customHeight="1">
      <c r="A195" s="117"/>
      <c r="B195" s="99"/>
      <c r="C195" s="102"/>
      <c r="D195" s="132"/>
      <c r="E195" s="102"/>
      <c r="F195" s="16" t="s">
        <v>13</v>
      </c>
      <c r="G195" s="26">
        <f>H195+I195+J195+K195+L195</f>
        <v>456237</v>
      </c>
      <c r="H195" s="26">
        <f>368777+87460</f>
        <v>456237</v>
      </c>
      <c r="I195" s="26">
        <v>0</v>
      </c>
      <c r="J195" s="26">
        <v>0</v>
      </c>
      <c r="K195" s="26">
        <v>0</v>
      </c>
      <c r="L195" s="26">
        <v>0</v>
      </c>
      <c r="M195" s="82"/>
    </row>
    <row r="196" spans="1:13" s="12" customFormat="1" ht="21.75" customHeight="1">
      <c r="A196" s="117"/>
      <c r="B196" s="99"/>
      <c r="C196" s="102"/>
      <c r="D196" s="132"/>
      <c r="E196" s="102"/>
      <c r="F196" s="16" t="s">
        <v>14</v>
      </c>
      <c r="G196" s="26">
        <f>H196+I196+J196+K196+L196</f>
        <v>860479</v>
      </c>
      <c r="H196" s="26">
        <v>860479</v>
      </c>
      <c r="I196" s="26">
        <v>0</v>
      </c>
      <c r="J196" s="26">
        <v>0</v>
      </c>
      <c r="K196" s="26">
        <v>0</v>
      </c>
      <c r="L196" s="26">
        <v>0</v>
      </c>
      <c r="M196" s="82"/>
    </row>
    <row r="197" spans="1:13" s="12" customFormat="1" ht="21.75" customHeight="1">
      <c r="A197" s="118"/>
      <c r="B197" s="100"/>
      <c r="C197" s="102"/>
      <c r="D197" s="133"/>
      <c r="E197" s="106"/>
      <c r="F197" s="16" t="s">
        <v>15</v>
      </c>
      <c r="G197" s="26">
        <f>H197+I197+J197+K197+L197</f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82"/>
    </row>
    <row r="198" spans="1:13" ht="21.75" customHeight="1" hidden="1" outlineLevel="1">
      <c r="A198" s="75"/>
      <c r="B198" s="98" t="s">
        <v>97</v>
      </c>
      <c r="C198" s="101" t="s">
        <v>125</v>
      </c>
      <c r="D198" s="101"/>
      <c r="E198" s="101" t="s">
        <v>106</v>
      </c>
      <c r="F198" s="16" t="s">
        <v>12</v>
      </c>
      <c r="G198" s="26">
        <f aca="true" t="shared" si="54" ref="G198:L198">G199+G200+G201</f>
        <v>0</v>
      </c>
      <c r="H198" s="26">
        <f t="shared" si="54"/>
        <v>0</v>
      </c>
      <c r="I198" s="26">
        <f t="shared" si="54"/>
        <v>0</v>
      </c>
      <c r="J198" s="26">
        <f t="shared" si="54"/>
        <v>0</v>
      </c>
      <c r="K198" s="26">
        <f t="shared" si="54"/>
        <v>0</v>
      </c>
      <c r="L198" s="26">
        <f t="shared" si="54"/>
        <v>0</v>
      </c>
      <c r="M198" s="82"/>
    </row>
    <row r="199" spans="1:13" ht="21.75" customHeight="1" hidden="1" outlineLevel="1">
      <c r="A199" s="77" t="s">
        <v>101</v>
      </c>
      <c r="B199" s="99"/>
      <c r="C199" s="102"/>
      <c r="D199" s="102"/>
      <c r="E199" s="102"/>
      <c r="F199" s="16" t="s">
        <v>13</v>
      </c>
      <c r="G199" s="26">
        <f t="shared" si="51"/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82"/>
    </row>
    <row r="200" spans="1:13" ht="21.75" customHeight="1" hidden="1" outlineLevel="1">
      <c r="A200" s="75"/>
      <c r="B200" s="99"/>
      <c r="C200" s="102"/>
      <c r="D200" s="102"/>
      <c r="E200" s="102"/>
      <c r="F200" s="16" t="s">
        <v>14</v>
      </c>
      <c r="G200" s="26">
        <f t="shared" si="51"/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82"/>
    </row>
    <row r="201" spans="1:13" ht="21.75" customHeight="1" hidden="1" outlineLevel="1">
      <c r="A201" s="75"/>
      <c r="B201" s="100"/>
      <c r="C201" s="102"/>
      <c r="D201" s="106"/>
      <c r="E201" s="106"/>
      <c r="F201" s="16" t="s">
        <v>15</v>
      </c>
      <c r="G201" s="26">
        <f t="shared" si="51"/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82"/>
    </row>
    <row r="202" spans="1:13" ht="21.75" customHeight="1" hidden="1" outlineLevel="1">
      <c r="A202" s="116" t="s">
        <v>154</v>
      </c>
      <c r="B202" s="98" t="s">
        <v>81</v>
      </c>
      <c r="C202" s="101" t="s">
        <v>125</v>
      </c>
      <c r="D202" s="101"/>
      <c r="E202" s="101" t="s">
        <v>106</v>
      </c>
      <c r="F202" s="16" t="s">
        <v>12</v>
      </c>
      <c r="G202" s="26">
        <f aca="true" t="shared" si="55" ref="G202:L202">G203+G204+G205</f>
        <v>0</v>
      </c>
      <c r="H202" s="26">
        <f t="shared" si="55"/>
        <v>0</v>
      </c>
      <c r="I202" s="26">
        <f t="shared" si="55"/>
        <v>0</v>
      </c>
      <c r="J202" s="26">
        <f t="shared" si="55"/>
        <v>0</v>
      </c>
      <c r="K202" s="26">
        <f t="shared" si="55"/>
        <v>0</v>
      </c>
      <c r="L202" s="26">
        <f t="shared" si="55"/>
        <v>0</v>
      </c>
      <c r="M202" s="82"/>
    </row>
    <row r="203" spans="1:13" ht="21.75" customHeight="1" hidden="1" outlineLevel="1">
      <c r="A203" s="117"/>
      <c r="B203" s="99"/>
      <c r="C203" s="102"/>
      <c r="D203" s="102"/>
      <c r="E203" s="102"/>
      <c r="F203" s="16" t="s">
        <v>13</v>
      </c>
      <c r="G203" s="26">
        <f>H203+I203+J203+K203+L203</f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82"/>
    </row>
    <row r="204" spans="1:13" ht="21.75" customHeight="1" hidden="1" outlineLevel="1">
      <c r="A204" s="117"/>
      <c r="B204" s="99"/>
      <c r="C204" s="102"/>
      <c r="D204" s="102"/>
      <c r="E204" s="102"/>
      <c r="F204" s="16" t="s">
        <v>14</v>
      </c>
      <c r="G204" s="26">
        <f>H204+I204+J204+K204+L204</f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82"/>
    </row>
    <row r="205" spans="1:13" ht="21.75" customHeight="1" hidden="1" outlineLevel="1">
      <c r="A205" s="118"/>
      <c r="B205" s="100"/>
      <c r="C205" s="102"/>
      <c r="D205" s="106"/>
      <c r="E205" s="106"/>
      <c r="F205" s="16" t="s">
        <v>15</v>
      </c>
      <c r="G205" s="26">
        <f>H205+I205+J205+K205+L205</f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82"/>
    </row>
    <row r="206" spans="1:25" ht="21.75" customHeight="1" hidden="1" outlineLevel="1">
      <c r="A206" s="75"/>
      <c r="B206" s="98" t="s">
        <v>98</v>
      </c>
      <c r="C206" s="101" t="s">
        <v>125</v>
      </c>
      <c r="D206" s="101"/>
      <c r="E206" s="101" t="s">
        <v>106</v>
      </c>
      <c r="F206" s="16" t="s">
        <v>12</v>
      </c>
      <c r="G206" s="26">
        <f aca="true" t="shared" si="56" ref="G206:L206">G207+G208+G209</f>
        <v>0</v>
      </c>
      <c r="H206" s="26">
        <f t="shared" si="56"/>
        <v>0</v>
      </c>
      <c r="I206" s="26">
        <f t="shared" si="56"/>
        <v>0</v>
      </c>
      <c r="J206" s="26">
        <f t="shared" si="56"/>
        <v>0</v>
      </c>
      <c r="K206" s="26">
        <f t="shared" si="56"/>
        <v>0</v>
      </c>
      <c r="L206" s="26">
        <f t="shared" si="56"/>
        <v>0</v>
      </c>
      <c r="M206" s="82"/>
      <c r="O206" s="3"/>
      <c r="Y206" s="15"/>
    </row>
    <row r="207" spans="1:25" ht="21.75" customHeight="1" hidden="1" outlineLevel="1">
      <c r="A207" s="75"/>
      <c r="B207" s="99"/>
      <c r="C207" s="102"/>
      <c r="D207" s="102"/>
      <c r="E207" s="102"/>
      <c r="F207" s="16" t="s">
        <v>13</v>
      </c>
      <c r="G207" s="26">
        <f>H207+I207+J207+K207+L207</f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82"/>
      <c r="O207" s="3"/>
      <c r="Y207" s="15"/>
    </row>
    <row r="208" spans="1:25" ht="21.75" customHeight="1" hidden="1" outlineLevel="1">
      <c r="A208" s="77" t="s">
        <v>193</v>
      </c>
      <c r="B208" s="99"/>
      <c r="C208" s="102"/>
      <c r="D208" s="102"/>
      <c r="E208" s="102"/>
      <c r="F208" s="16" t="s">
        <v>14</v>
      </c>
      <c r="G208" s="26">
        <f>H208+I208+J208+K208+L208</f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82"/>
      <c r="O208" s="3"/>
      <c r="Y208" s="15"/>
    </row>
    <row r="209" spans="1:25" ht="21.75" customHeight="1" hidden="1" outlineLevel="1">
      <c r="A209" s="75"/>
      <c r="B209" s="100"/>
      <c r="C209" s="102"/>
      <c r="D209" s="106"/>
      <c r="E209" s="106"/>
      <c r="F209" s="16" t="s">
        <v>15</v>
      </c>
      <c r="G209" s="26">
        <f>H209+I209+J209+K209+L209</f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82"/>
      <c r="O209" s="3"/>
      <c r="Y209" s="15"/>
    </row>
    <row r="210" spans="1:13" ht="21.75" customHeight="1" collapsed="1">
      <c r="A210" s="107" t="s">
        <v>62</v>
      </c>
      <c r="B210" s="110" t="s">
        <v>148</v>
      </c>
      <c r="C210" s="113" t="s">
        <v>125</v>
      </c>
      <c r="D210" s="134" t="s">
        <v>142</v>
      </c>
      <c r="E210" s="113" t="s">
        <v>106</v>
      </c>
      <c r="F210" s="39" t="s">
        <v>12</v>
      </c>
      <c r="G210" s="40">
        <f aca="true" t="shared" si="57" ref="G210:L210">G211+G212+G213</f>
        <v>24117512.549999997</v>
      </c>
      <c r="H210" s="40">
        <f t="shared" si="57"/>
        <v>1942784.25</v>
      </c>
      <c r="I210" s="40">
        <f t="shared" si="57"/>
        <v>4335490.64</v>
      </c>
      <c r="J210" s="40">
        <f t="shared" si="57"/>
        <v>8100412.56</v>
      </c>
      <c r="K210" s="40">
        <f t="shared" si="57"/>
        <v>4869412.54</v>
      </c>
      <c r="L210" s="40">
        <f t="shared" si="57"/>
        <v>4869412.56</v>
      </c>
      <c r="M210" s="126"/>
    </row>
    <row r="211" spans="1:13" ht="21.75" customHeight="1">
      <c r="A211" s="108"/>
      <c r="B211" s="111"/>
      <c r="C211" s="114"/>
      <c r="D211" s="114"/>
      <c r="E211" s="114"/>
      <c r="F211" s="39" t="s">
        <v>13</v>
      </c>
      <c r="G211" s="40">
        <f>H211+I211+J211+K211+L211</f>
        <v>6965314.18</v>
      </c>
      <c r="H211" s="40">
        <f aca="true" t="shared" si="58" ref="H211:I213">H215+H219+H223+H231+H227</f>
        <v>1742784.25</v>
      </c>
      <c r="I211" s="40">
        <f>I215+I219+I223+I231+I227</f>
        <v>722529.9299999999</v>
      </c>
      <c r="J211" s="40">
        <f aca="true" t="shared" si="59" ref="J211:L213">J215+J219+J223+J231+J227</f>
        <v>3500000</v>
      </c>
      <c r="K211" s="40">
        <f t="shared" si="59"/>
        <v>500000</v>
      </c>
      <c r="L211" s="40">
        <f t="shared" si="59"/>
        <v>500000</v>
      </c>
      <c r="M211" s="127"/>
    </row>
    <row r="212" spans="1:13" ht="21.75" customHeight="1">
      <c r="A212" s="108"/>
      <c r="B212" s="111"/>
      <c r="C212" s="114"/>
      <c r="D212" s="114"/>
      <c r="E212" s="114"/>
      <c r="F212" s="39" t="s">
        <v>14</v>
      </c>
      <c r="G212" s="40">
        <f>H212+I212+J212+K212+L212</f>
        <v>17152198.369999997</v>
      </c>
      <c r="H212" s="40">
        <f t="shared" si="58"/>
        <v>200000</v>
      </c>
      <c r="I212" s="40">
        <f t="shared" si="58"/>
        <v>3612960.71</v>
      </c>
      <c r="J212" s="40">
        <f t="shared" si="59"/>
        <v>4600412.56</v>
      </c>
      <c r="K212" s="40">
        <f t="shared" si="59"/>
        <v>4369412.54</v>
      </c>
      <c r="L212" s="40">
        <f t="shared" si="59"/>
        <v>4369412.56</v>
      </c>
      <c r="M212" s="127"/>
    </row>
    <row r="213" spans="1:13" ht="21.75" customHeight="1">
      <c r="A213" s="109"/>
      <c r="B213" s="112"/>
      <c r="C213" s="115"/>
      <c r="D213" s="115"/>
      <c r="E213" s="115"/>
      <c r="F213" s="39" t="s">
        <v>15</v>
      </c>
      <c r="G213" s="40">
        <f>H213+I213+J213+K213+L213</f>
        <v>0</v>
      </c>
      <c r="H213" s="40">
        <f t="shared" si="58"/>
        <v>0</v>
      </c>
      <c r="I213" s="40">
        <f t="shared" si="58"/>
        <v>0</v>
      </c>
      <c r="J213" s="40">
        <f t="shared" si="59"/>
        <v>0</v>
      </c>
      <c r="K213" s="40">
        <f t="shared" si="59"/>
        <v>0</v>
      </c>
      <c r="L213" s="40">
        <f t="shared" si="59"/>
        <v>0</v>
      </c>
      <c r="M213" s="128"/>
    </row>
    <row r="214" spans="1:13" ht="21.75" customHeight="1">
      <c r="A214" s="116" t="s">
        <v>63</v>
      </c>
      <c r="B214" s="98" t="s">
        <v>64</v>
      </c>
      <c r="C214" s="101" t="s">
        <v>125</v>
      </c>
      <c r="D214" s="103" t="s">
        <v>128</v>
      </c>
      <c r="E214" s="101" t="s">
        <v>106</v>
      </c>
      <c r="F214" s="16" t="s">
        <v>12</v>
      </c>
      <c r="G214" s="26">
        <f aca="true" t="shared" si="60" ref="G214:L214">G215+G216+G217</f>
        <v>4667221.3</v>
      </c>
      <c r="H214" s="26">
        <f t="shared" si="60"/>
        <v>1426776.79</v>
      </c>
      <c r="I214" s="26">
        <f t="shared" si="60"/>
        <v>0</v>
      </c>
      <c r="J214" s="26">
        <f t="shared" si="60"/>
        <v>3100068.51</v>
      </c>
      <c r="K214" s="26">
        <f t="shared" si="60"/>
        <v>70188</v>
      </c>
      <c r="L214" s="26">
        <f t="shared" si="60"/>
        <v>70188</v>
      </c>
      <c r="M214" s="129" t="s">
        <v>206</v>
      </c>
    </row>
    <row r="215" spans="1:13" ht="21.75" customHeight="1">
      <c r="A215" s="117"/>
      <c r="B215" s="99"/>
      <c r="C215" s="102"/>
      <c r="D215" s="104"/>
      <c r="E215" s="102"/>
      <c r="F215" s="16" t="s">
        <v>13</v>
      </c>
      <c r="G215" s="26">
        <f>H215+I215+J215+K215+L215</f>
        <v>4667221.3</v>
      </c>
      <c r="H215" s="26">
        <f>76776.79+1000000+350000</f>
        <v>1426776.79</v>
      </c>
      <c r="I215" s="26">
        <v>0</v>
      </c>
      <c r="J215" s="26">
        <f>70188+3000000+29880.51</f>
        <v>3100068.51</v>
      </c>
      <c r="K215" s="26">
        <v>70188</v>
      </c>
      <c r="L215" s="26">
        <v>70188</v>
      </c>
      <c r="M215" s="130"/>
    </row>
    <row r="216" spans="1:13" ht="21.75" customHeight="1">
      <c r="A216" s="117"/>
      <c r="B216" s="99"/>
      <c r="C216" s="102"/>
      <c r="D216" s="104"/>
      <c r="E216" s="102"/>
      <c r="F216" s="16" t="s">
        <v>14</v>
      </c>
      <c r="G216" s="26">
        <f>H216+I216+J216+K216+L216</f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130"/>
    </row>
    <row r="217" spans="1:13" ht="21.75" customHeight="1">
      <c r="A217" s="118"/>
      <c r="B217" s="100"/>
      <c r="C217" s="102"/>
      <c r="D217" s="105"/>
      <c r="E217" s="106"/>
      <c r="F217" s="16" t="s">
        <v>15</v>
      </c>
      <c r="G217" s="26">
        <f>H217+I217+J217+K217+L217</f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130"/>
    </row>
    <row r="218" spans="1:13" ht="21.75" customHeight="1">
      <c r="A218" s="116" t="s">
        <v>65</v>
      </c>
      <c r="B218" s="98" t="s">
        <v>66</v>
      </c>
      <c r="C218" s="101" t="s">
        <v>125</v>
      </c>
      <c r="D218" s="103" t="s">
        <v>142</v>
      </c>
      <c r="E218" s="101" t="s">
        <v>106</v>
      </c>
      <c r="F218" s="16" t="s">
        <v>12</v>
      </c>
      <c r="G218" s="26">
        <f aca="true" t="shared" si="61" ref="G218:L218">G219+G220+G221</f>
        <v>1341837.88</v>
      </c>
      <c r="H218" s="26">
        <f t="shared" si="61"/>
        <v>199970.46</v>
      </c>
      <c r="I218" s="26">
        <f t="shared" si="61"/>
        <v>422529.93</v>
      </c>
      <c r="J218" s="26">
        <f t="shared" si="61"/>
        <v>289931.49</v>
      </c>
      <c r="K218" s="26">
        <f t="shared" si="61"/>
        <v>214703</v>
      </c>
      <c r="L218" s="26">
        <f t="shared" si="61"/>
        <v>214703</v>
      </c>
      <c r="M218" s="130"/>
    </row>
    <row r="219" spans="1:13" ht="21.75" customHeight="1">
      <c r="A219" s="117"/>
      <c r="B219" s="99"/>
      <c r="C219" s="102"/>
      <c r="D219" s="104"/>
      <c r="E219" s="102"/>
      <c r="F219" s="16" t="s">
        <v>13</v>
      </c>
      <c r="G219" s="26">
        <f>H219+I219+J219+K219+L219</f>
        <v>1341837.88</v>
      </c>
      <c r="H219" s="26">
        <f>190170.46+9800</f>
        <v>199970.46</v>
      </c>
      <c r="I219" s="26">
        <v>422529.93</v>
      </c>
      <c r="J219" s="26">
        <v>289931.49</v>
      </c>
      <c r="K219" s="26">
        <v>214703</v>
      </c>
      <c r="L219" s="26">
        <v>214703</v>
      </c>
      <c r="M219" s="130"/>
    </row>
    <row r="220" spans="1:13" ht="21.75" customHeight="1">
      <c r="A220" s="117"/>
      <c r="B220" s="99"/>
      <c r="C220" s="102"/>
      <c r="D220" s="104"/>
      <c r="E220" s="102"/>
      <c r="F220" s="16" t="s">
        <v>14</v>
      </c>
      <c r="G220" s="26">
        <f>H220+I220+J220+K220+L220</f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130"/>
    </row>
    <row r="221" spans="1:13" ht="21.75" customHeight="1">
      <c r="A221" s="118"/>
      <c r="B221" s="100"/>
      <c r="C221" s="102"/>
      <c r="D221" s="105"/>
      <c r="E221" s="106"/>
      <c r="F221" s="16" t="s">
        <v>15</v>
      </c>
      <c r="G221" s="26">
        <f>H221+I221+J221+K221+L221</f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130"/>
    </row>
    <row r="222" spans="1:13" ht="21.75" customHeight="1">
      <c r="A222" s="116" t="s">
        <v>67</v>
      </c>
      <c r="B222" s="98" t="s">
        <v>109</v>
      </c>
      <c r="C222" s="101" t="s">
        <v>125</v>
      </c>
      <c r="D222" s="101"/>
      <c r="E222" s="101" t="s">
        <v>106</v>
      </c>
      <c r="F222" s="16" t="s">
        <v>12</v>
      </c>
      <c r="G222" s="26">
        <f aca="true" t="shared" si="62" ref="G222:L222">G223+G224+G225</f>
        <v>0</v>
      </c>
      <c r="H222" s="26">
        <f t="shared" si="62"/>
        <v>0</v>
      </c>
      <c r="I222" s="26">
        <f t="shared" si="62"/>
        <v>0</v>
      </c>
      <c r="J222" s="26">
        <f t="shared" si="62"/>
        <v>0</v>
      </c>
      <c r="K222" s="26">
        <f t="shared" si="62"/>
        <v>0</v>
      </c>
      <c r="L222" s="26">
        <f t="shared" si="62"/>
        <v>0</v>
      </c>
      <c r="M222" s="130"/>
    </row>
    <row r="223" spans="1:13" ht="21.75" customHeight="1">
      <c r="A223" s="117"/>
      <c r="B223" s="99"/>
      <c r="C223" s="102"/>
      <c r="D223" s="102"/>
      <c r="E223" s="102"/>
      <c r="F223" s="16" t="s">
        <v>13</v>
      </c>
      <c r="G223" s="26">
        <f>H223+I223+J223+K223+L223</f>
        <v>0</v>
      </c>
      <c r="H223" s="26">
        <v>0</v>
      </c>
      <c r="I223" s="26">
        <v>0</v>
      </c>
      <c r="J223" s="26">
        <v>0</v>
      </c>
      <c r="K223" s="26"/>
      <c r="L223" s="26">
        <v>0</v>
      </c>
      <c r="M223" s="130"/>
    </row>
    <row r="224" spans="1:13" ht="21.75" customHeight="1">
      <c r="A224" s="117"/>
      <c r="B224" s="99"/>
      <c r="C224" s="102"/>
      <c r="D224" s="102"/>
      <c r="E224" s="102"/>
      <c r="F224" s="16" t="s">
        <v>14</v>
      </c>
      <c r="G224" s="26">
        <f>H224+I224+J224+K224+L224</f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130"/>
    </row>
    <row r="225" spans="1:13" ht="21.75" customHeight="1">
      <c r="A225" s="118"/>
      <c r="B225" s="100"/>
      <c r="C225" s="102"/>
      <c r="D225" s="106"/>
      <c r="E225" s="106"/>
      <c r="F225" s="16" t="s">
        <v>15</v>
      </c>
      <c r="G225" s="26">
        <f>H225+I225+J225+K225+L225</f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130"/>
    </row>
    <row r="226" spans="1:13" ht="21.75" customHeight="1">
      <c r="A226" s="75"/>
      <c r="B226" s="98" t="s">
        <v>104</v>
      </c>
      <c r="C226" s="101" t="s">
        <v>125</v>
      </c>
      <c r="D226" s="103" t="s">
        <v>127</v>
      </c>
      <c r="E226" s="101" t="s">
        <v>106</v>
      </c>
      <c r="F226" s="16" t="s">
        <v>12</v>
      </c>
      <c r="G226" s="26">
        <f aca="true" t="shared" si="63" ref="G226:L226">G227+G228+G229</f>
        <v>1477255</v>
      </c>
      <c r="H226" s="26">
        <f t="shared" si="63"/>
        <v>316037</v>
      </c>
      <c r="I226" s="26">
        <f t="shared" si="63"/>
        <v>390000</v>
      </c>
      <c r="J226" s="26">
        <f t="shared" si="63"/>
        <v>341000</v>
      </c>
      <c r="K226" s="26">
        <f t="shared" si="63"/>
        <v>215109</v>
      </c>
      <c r="L226" s="26">
        <f t="shared" si="63"/>
        <v>215109</v>
      </c>
      <c r="M226" s="130"/>
    </row>
    <row r="227" spans="1:13" ht="21.75" customHeight="1">
      <c r="A227" s="77" t="s">
        <v>102</v>
      </c>
      <c r="B227" s="99"/>
      <c r="C227" s="102"/>
      <c r="D227" s="104"/>
      <c r="E227" s="102"/>
      <c r="F227" s="16" t="s">
        <v>13</v>
      </c>
      <c r="G227" s="26">
        <f>H227+I227+J227+K227+L227</f>
        <v>756255</v>
      </c>
      <c r="H227" s="26">
        <v>116037</v>
      </c>
      <c r="I227" s="26">
        <f>157703.92-57703.92</f>
        <v>100000.00000000001</v>
      </c>
      <c r="J227" s="26">
        <v>110000</v>
      </c>
      <c r="K227" s="26">
        <v>215109</v>
      </c>
      <c r="L227" s="26">
        <v>215109</v>
      </c>
      <c r="M227" s="130"/>
    </row>
    <row r="228" spans="1:13" ht="21.75" customHeight="1">
      <c r="A228" s="75"/>
      <c r="B228" s="99"/>
      <c r="C228" s="102"/>
      <c r="D228" s="104"/>
      <c r="E228" s="102"/>
      <c r="F228" s="16" t="s">
        <v>14</v>
      </c>
      <c r="G228" s="26">
        <f>H228+I228+J228+K228+L228</f>
        <v>721000</v>
      </c>
      <c r="H228" s="26">
        <v>200000</v>
      </c>
      <c r="I228" s="26">
        <v>290000</v>
      </c>
      <c r="J228" s="26">
        <v>231000</v>
      </c>
      <c r="K228" s="26">
        <v>0</v>
      </c>
      <c r="L228" s="26">
        <v>0</v>
      </c>
      <c r="M228" s="130"/>
    </row>
    <row r="229" spans="1:13" ht="21.75" customHeight="1">
      <c r="A229" s="75"/>
      <c r="B229" s="100"/>
      <c r="C229" s="102"/>
      <c r="D229" s="105"/>
      <c r="E229" s="106"/>
      <c r="F229" s="16" t="s">
        <v>15</v>
      </c>
      <c r="G229" s="26">
        <f>H229+I229+J229+K229+L229</f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130"/>
    </row>
    <row r="230" spans="1:13" ht="21.75" customHeight="1">
      <c r="A230" s="116" t="s">
        <v>103</v>
      </c>
      <c r="B230" s="98" t="s">
        <v>78</v>
      </c>
      <c r="C230" s="101" t="s">
        <v>125</v>
      </c>
      <c r="D230" s="103" t="s">
        <v>141</v>
      </c>
      <c r="E230" s="101" t="s">
        <v>106</v>
      </c>
      <c r="F230" s="16" t="s">
        <v>12</v>
      </c>
      <c r="G230" s="26">
        <f aca="true" t="shared" si="64" ref="G230:L230">G231+G232+G233</f>
        <v>16631198.369999997</v>
      </c>
      <c r="H230" s="26">
        <f t="shared" si="64"/>
        <v>0</v>
      </c>
      <c r="I230" s="26">
        <f t="shared" si="64"/>
        <v>3522960.71</v>
      </c>
      <c r="J230" s="26">
        <f t="shared" si="64"/>
        <v>4369412.56</v>
      </c>
      <c r="K230" s="26">
        <f t="shared" si="64"/>
        <v>4369412.54</v>
      </c>
      <c r="L230" s="26">
        <f t="shared" si="64"/>
        <v>4369412.56</v>
      </c>
      <c r="M230" s="130"/>
    </row>
    <row r="231" spans="1:13" ht="21.75" customHeight="1">
      <c r="A231" s="117"/>
      <c r="B231" s="99"/>
      <c r="C231" s="102"/>
      <c r="D231" s="104"/>
      <c r="E231" s="102"/>
      <c r="F231" s="16" t="s">
        <v>13</v>
      </c>
      <c r="G231" s="26">
        <f>H231+I231+J231+K231+L231</f>
        <v>200000</v>
      </c>
      <c r="H231" s="26">
        <v>0</v>
      </c>
      <c r="I231" s="26">
        <f>200000+572400-572400</f>
        <v>200000</v>
      </c>
      <c r="J231" s="26">
        <v>0</v>
      </c>
      <c r="K231" s="26">
        <v>0</v>
      </c>
      <c r="L231" s="26">
        <v>0</v>
      </c>
      <c r="M231" s="130"/>
    </row>
    <row r="232" spans="1:13" ht="21.75" customHeight="1">
      <c r="A232" s="117"/>
      <c r="B232" s="99"/>
      <c r="C232" s="102"/>
      <c r="D232" s="104"/>
      <c r="E232" s="102"/>
      <c r="F232" s="16" t="s">
        <v>14</v>
      </c>
      <c r="G232" s="26">
        <f>H232+I232+J232+K232+L232</f>
        <v>16431198.369999997</v>
      </c>
      <c r="H232" s="26">
        <v>0</v>
      </c>
      <c r="I232" s="26">
        <f>4922960.71-1600000</f>
        <v>3322960.71</v>
      </c>
      <c r="J232" s="26">
        <v>4369412.56</v>
      </c>
      <c r="K232" s="26">
        <v>4369412.54</v>
      </c>
      <c r="L232" s="26">
        <v>4369412.56</v>
      </c>
      <c r="M232" s="130"/>
    </row>
    <row r="233" spans="1:13" ht="21.75" customHeight="1">
      <c r="A233" s="118"/>
      <c r="B233" s="100"/>
      <c r="C233" s="102"/>
      <c r="D233" s="105"/>
      <c r="E233" s="106"/>
      <c r="F233" s="16" t="s">
        <v>15</v>
      </c>
      <c r="G233" s="26">
        <f>H233+I233+J233+K233+L233</f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130"/>
    </row>
    <row r="234" spans="1:13" ht="21.75" customHeight="1">
      <c r="A234" s="107" t="s">
        <v>68</v>
      </c>
      <c r="B234" s="110" t="s">
        <v>149</v>
      </c>
      <c r="C234" s="113" t="s">
        <v>125</v>
      </c>
      <c r="D234" s="123" t="s">
        <v>126</v>
      </c>
      <c r="E234" s="113" t="s">
        <v>106</v>
      </c>
      <c r="F234" s="39" t="s">
        <v>12</v>
      </c>
      <c r="G234" s="40">
        <f aca="true" t="shared" si="65" ref="G234:L234">G235+G236+G237</f>
        <v>2827578.61</v>
      </c>
      <c r="H234" s="40">
        <f t="shared" si="65"/>
        <v>600000</v>
      </c>
      <c r="I234" s="40">
        <f t="shared" si="65"/>
        <v>557000</v>
      </c>
      <c r="J234" s="40">
        <f t="shared" si="65"/>
        <v>556578.61</v>
      </c>
      <c r="K234" s="40">
        <f t="shared" si="65"/>
        <v>557000</v>
      </c>
      <c r="L234" s="40">
        <f t="shared" si="65"/>
        <v>557000</v>
      </c>
      <c r="M234" s="126"/>
    </row>
    <row r="235" spans="1:13" ht="21.75" customHeight="1">
      <c r="A235" s="108"/>
      <c r="B235" s="111"/>
      <c r="C235" s="114"/>
      <c r="D235" s="124"/>
      <c r="E235" s="114"/>
      <c r="F235" s="39" t="s">
        <v>13</v>
      </c>
      <c r="G235" s="40">
        <f>H235+I235+J235+K235+L235</f>
        <v>2827578.61</v>
      </c>
      <c r="H235" s="40">
        <f>H239+H251+H259+H263+H243+H247+H255</f>
        <v>600000</v>
      </c>
      <c r="I235" s="40">
        <f>I239+I251+I259+I263+I243+I247+I255</f>
        <v>557000</v>
      </c>
      <c r="J235" s="40">
        <f>J239+J251+J259+J263+J243+J247+J255</f>
        <v>556578.61</v>
      </c>
      <c r="K235" s="40">
        <f>K239+K251+K259+K263+K243+K247+K255</f>
        <v>557000</v>
      </c>
      <c r="L235" s="40">
        <f>L239+L251+L259+L263+L243+L247+L255</f>
        <v>557000</v>
      </c>
      <c r="M235" s="127"/>
    </row>
    <row r="236" spans="1:13" ht="21.75" customHeight="1">
      <c r="A236" s="108"/>
      <c r="B236" s="111"/>
      <c r="C236" s="114"/>
      <c r="D236" s="124"/>
      <c r="E236" s="114"/>
      <c r="F236" s="39" t="s">
        <v>14</v>
      </c>
      <c r="G236" s="40">
        <f>H236+I236+J236+K236+L236</f>
        <v>0</v>
      </c>
      <c r="H236" s="40">
        <f aca="true" t="shared" si="66" ref="H236:L237">H240+H252+H260+H264+H244+H248+H256</f>
        <v>0</v>
      </c>
      <c r="I236" s="40">
        <f t="shared" si="66"/>
        <v>0</v>
      </c>
      <c r="J236" s="40">
        <f t="shared" si="66"/>
        <v>0</v>
      </c>
      <c r="K236" s="40">
        <f t="shared" si="66"/>
        <v>0</v>
      </c>
      <c r="L236" s="40">
        <f t="shared" si="66"/>
        <v>0</v>
      </c>
      <c r="M236" s="127"/>
    </row>
    <row r="237" spans="1:13" ht="21.75" customHeight="1">
      <c r="A237" s="109"/>
      <c r="B237" s="112"/>
      <c r="C237" s="115"/>
      <c r="D237" s="125"/>
      <c r="E237" s="115"/>
      <c r="F237" s="39" t="s">
        <v>15</v>
      </c>
      <c r="G237" s="40">
        <f>H237+I237+J237+K237+L237</f>
        <v>0</v>
      </c>
      <c r="H237" s="40">
        <f t="shared" si="66"/>
        <v>0</v>
      </c>
      <c r="I237" s="40">
        <f t="shared" si="66"/>
        <v>0</v>
      </c>
      <c r="J237" s="40">
        <f t="shared" si="66"/>
        <v>0</v>
      </c>
      <c r="K237" s="40">
        <f t="shared" si="66"/>
        <v>0</v>
      </c>
      <c r="L237" s="40">
        <f t="shared" si="66"/>
        <v>0</v>
      </c>
      <c r="M237" s="128"/>
    </row>
    <row r="238" spans="1:13" ht="21.75" customHeight="1">
      <c r="A238" s="116" t="s">
        <v>69</v>
      </c>
      <c r="B238" s="98" t="s">
        <v>114</v>
      </c>
      <c r="C238" s="101" t="s">
        <v>125</v>
      </c>
      <c r="D238" s="119" t="s">
        <v>124</v>
      </c>
      <c r="E238" s="101" t="s">
        <v>106</v>
      </c>
      <c r="F238" s="16" t="s">
        <v>12</v>
      </c>
      <c r="G238" s="26">
        <f aca="true" t="shared" si="67" ref="G238:L238">G239+G240+G241</f>
        <v>1038749.8</v>
      </c>
      <c r="H238" s="26">
        <f t="shared" si="67"/>
        <v>235000</v>
      </c>
      <c r="I238" s="26">
        <f t="shared" si="67"/>
        <v>197749.8</v>
      </c>
      <c r="J238" s="26">
        <f t="shared" si="67"/>
        <v>202000</v>
      </c>
      <c r="K238" s="26">
        <f t="shared" si="67"/>
        <v>202000</v>
      </c>
      <c r="L238" s="26">
        <f t="shared" si="67"/>
        <v>202000</v>
      </c>
      <c r="M238" s="82"/>
    </row>
    <row r="239" spans="1:13" ht="21.75" customHeight="1">
      <c r="A239" s="117"/>
      <c r="B239" s="99"/>
      <c r="C239" s="102"/>
      <c r="D239" s="120"/>
      <c r="E239" s="102"/>
      <c r="F239" s="16" t="s">
        <v>13</v>
      </c>
      <c r="G239" s="26">
        <f>H239+I239+J239+K239+L239</f>
        <v>1038749.8</v>
      </c>
      <c r="H239" s="26">
        <v>235000</v>
      </c>
      <c r="I239" s="26">
        <f>252000-I251-4250.2</f>
        <v>197749.8</v>
      </c>
      <c r="J239" s="26">
        <v>202000</v>
      </c>
      <c r="K239" s="26">
        <v>202000</v>
      </c>
      <c r="L239" s="26">
        <v>202000</v>
      </c>
      <c r="M239" s="82"/>
    </row>
    <row r="240" spans="1:13" ht="21.75" customHeight="1">
      <c r="A240" s="117"/>
      <c r="B240" s="99"/>
      <c r="C240" s="102"/>
      <c r="D240" s="120"/>
      <c r="E240" s="102"/>
      <c r="F240" s="16" t="s">
        <v>14</v>
      </c>
      <c r="G240" s="26">
        <f>H240+I240+J240+K240+L240</f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82"/>
    </row>
    <row r="241" spans="1:13" ht="21.75" customHeight="1">
      <c r="A241" s="118"/>
      <c r="B241" s="100"/>
      <c r="C241" s="102"/>
      <c r="D241" s="121"/>
      <c r="E241" s="106"/>
      <c r="F241" s="16" t="s">
        <v>15</v>
      </c>
      <c r="G241" s="26">
        <f>H241+I241+J241+K241+L241</f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82"/>
    </row>
    <row r="242" spans="1:13" ht="21.75" customHeight="1">
      <c r="A242" s="101" t="s">
        <v>71</v>
      </c>
      <c r="B242" s="98" t="s">
        <v>115</v>
      </c>
      <c r="C242" s="101" t="s">
        <v>125</v>
      </c>
      <c r="D242" s="119" t="s">
        <v>126</v>
      </c>
      <c r="E242" s="101" t="s">
        <v>106</v>
      </c>
      <c r="F242" s="16" t="s">
        <v>12</v>
      </c>
      <c r="G242" s="26">
        <f aca="true" t="shared" si="68" ref="G242:L242">G243+G244+G245</f>
        <v>548828.81</v>
      </c>
      <c r="H242" s="26">
        <f t="shared" si="68"/>
        <v>125000</v>
      </c>
      <c r="I242" s="26">
        <f t="shared" si="68"/>
        <v>109250.2</v>
      </c>
      <c r="J242" s="26">
        <f t="shared" si="68"/>
        <v>104578.61</v>
      </c>
      <c r="K242" s="26">
        <f t="shared" si="68"/>
        <v>105000</v>
      </c>
      <c r="L242" s="26">
        <f t="shared" si="68"/>
        <v>105000</v>
      </c>
      <c r="M242" s="82"/>
    </row>
    <row r="243" spans="1:13" ht="21.75" customHeight="1">
      <c r="A243" s="102"/>
      <c r="B243" s="99"/>
      <c r="C243" s="102"/>
      <c r="D243" s="120"/>
      <c r="E243" s="102"/>
      <c r="F243" s="16" t="s">
        <v>13</v>
      </c>
      <c r="G243" s="26">
        <f>H243+I243+J243+K243+L243</f>
        <v>548828.81</v>
      </c>
      <c r="H243" s="26">
        <v>125000</v>
      </c>
      <c r="I243" s="26">
        <f>105000+4250.2</f>
        <v>109250.2</v>
      </c>
      <c r="J243" s="26">
        <f>105000-421.39</f>
        <v>104578.61</v>
      </c>
      <c r="K243" s="26">
        <v>105000</v>
      </c>
      <c r="L243" s="26">
        <v>105000</v>
      </c>
      <c r="M243" s="82"/>
    </row>
    <row r="244" spans="1:13" ht="21.75" customHeight="1">
      <c r="A244" s="102"/>
      <c r="B244" s="99"/>
      <c r="C244" s="102"/>
      <c r="D244" s="120"/>
      <c r="E244" s="102"/>
      <c r="F244" s="16" t="s">
        <v>14</v>
      </c>
      <c r="G244" s="26">
        <f>H244+I244+J244+K244+L244</f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82"/>
    </row>
    <row r="245" spans="1:13" ht="21.75" customHeight="1">
      <c r="A245" s="106"/>
      <c r="B245" s="100"/>
      <c r="C245" s="102"/>
      <c r="D245" s="121"/>
      <c r="E245" s="106"/>
      <c r="F245" s="16" t="s">
        <v>15</v>
      </c>
      <c r="G245" s="26">
        <f>H245+I245+J245+K245+L245</f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82"/>
    </row>
    <row r="246" spans="1:13" ht="21.75" customHeight="1">
      <c r="A246" s="101" t="s">
        <v>72</v>
      </c>
      <c r="B246" s="98" t="s">
        <v>111</v>
      </c>
      <c r="C246" s="101" t="s">
        <v>125</v>
      </c>
      <c r="D246" s="119" t="s">
        <v>124</v>
      </c>
      <c r="E246" s="101" t="s">
        <v>106</v>
      </c>
      <c r="F246" s="16" t="s">
        <v>12</v>
      </c>
      <c r="G246" s="26">
        <f aca="true" t="shared" si="69" ref="G246:L246">G247+G248+G249</f>
        <v>1000000</v>
      </c>
      <c r="H246" s="26">
        <f t="shared" si="69"/>
        <v>200000</v>
      </c>
      <c r="I246" s="26">
        <f t="shared" si="69"/>
        <v>200000</v>
      </c>
      <c r="J246" s="26">
        <f t="shared" si="69"/>
        <v>200000</v>
      </c>
      <c r="K246" s="26">
        <f t="shared" si="69"/>
        <v>200000</v>
      </c>
      <c r="L246" s="26">
        <f t="shared" si="69"/>
        <v>200000</v>
      </c>
      <c r="M246" s="82"/>
    </row>
    <row r="247" spans="1:13" ht="21.75" customHeight="1">
      <c r="A247" s="102"/>
      <c r="B247" s="99"/>
      <c r="C247" s="102"/>
      <c r="D247" s="120"/>
      <c r="E247" s="102"/>
      <c r="F247" s="16" t="s">
        <v>13</v>
      </c>
      <c r="G247" s="26">
        <f>H247+I247+J247+K247+L247</f>
        <v>1000000</v>
      </c>
      <c r="H247" s="26">
        <v>200000</v>
      </c>
      <c r="I247" s="26">
        <v>200000</v>
      </c>
      <c r="J247" s="26">
        <v>200000</v>
      </c>
      <c r="K247" s="26">
        <v>200000</v>
      </c>
      <c r="L247" s="26">
        <v>200000</v>
      </c>
      <c r="M247" s="82"/>
    </row>
    <row r="248" spans="1:13" ht="21.75" customHeight="1">
      <c r="A248" s="102"/>
      <c r="B248" s="99"/>
      <c r="C248" s="102"/>
      <c r="D248" s="120"/>
      <c r="E248" s="102"/>
      <c r="F248" s="16" t="s">
        <v>14</v>
      </c>
      <c r="G248" s="26">
        <f>H248+I248+J248+K248+L248</f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82"/>
    </row>
    <row r="249" spans="1:13" ht="21.75" customHeight="1">
      <c r="A249" s="106"/>
      <c r="B249" s="100"/>
      <c r="C249" s="102"/>
      <c r="D249" s="121"/>
      <c r="E249" s="106"/>
      <c r="F249" s="16" t="s">
        <v>15</v>
      </c>
      <c r="G249" s="26">
        <f>H249+I249+J249+K249+L249</f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82"/>
    </row>
    <row r="250" spans="1:13" ht="21.75" customHeight="1">
      <c r="A250" s="116" t="s">
        <v>73</v>
      </c>
      <c r="B250" s="98" t="s">
        <v>89</v>
      </c>
      <c r="C250" s="101" t="s">
        <v>125</v>
      </c>
      <c r="D250" s="119" t="s">
        <v>124</v>
      </c>
      <c r="E250" s="101" t="s">
        <v>106</v>
      </c>
      <c r="F250" s="16" t="s">
        <v>12</v>
      </c>
      <c r="G250" s="26">
        <f aca="true" t="shared" si="70" ref="G250:L250">G251+G252+G253</f>
        <v>240000</v>
      </c>
      <c r="H250" s="26">
        <f t="shared" si="70"/>
        <v>40000</v>
      </c>
      <c r="I250" s="26">
        <f t="shared" si="70"/>
        <v>50000</v>
      </c>
      <c r="J250" s="26">
        <f t="shared" si="70"/>
        <v>50000</v>
      </c>
      <c r="K250" s="26">
        <f t="shared" si="70"/>
        <v>50000</v>
      </c>
      <c r="L250" s="26">
        <f t="shared" si="70"/>
        <v>50000</v>
      </c>
      <c r="M250" s="82"/>
    </row>
    <row r="251" spans="1:13" ht="21.75" customHeight="1">
      <c r="A251" s="117"/>
      <c r="B251" s="99"/>
      <c r="C251" s="102"/>
      <c r="D251" s="120"/>
      <c r="E251" s="102"/>
      <c r="F251" s="16" t="s">
        <v>13</v>
      </c>
      <c r="G251" s="26">
        <f>H251+I251+J251+K251+L251</f>
        <v>240000</v>
      </c>
      <c r="H251" s="26">
        <v>40000</v>
      </c>
      <c r="I251" s="26">
        <v>50000</v>
      </c>
      <c r="J251" s="26">
        <v>50000</v>
      </c>
      <c r="K251" s="26">
        <v>50000</v>
      </c>
      <c r="L251" s="26">
        <v>50000</v>
      </c>
      <c r="M251" s="82"/>
    </row>
    <row r="252" spans="1:13" ht="21.75" customHeight="1">
      <c r="A252" s="117"/>
      <c r="B252" s="99"/>
      <c r="C252" s="102"/>
      <c r="D252" s="120"/>
      <c r="E252" s="102"/>
      <c r="F252" s="16" t="s">
        <v>14</v>
      </c>
      <c r="G252" s="26">
        <f>H252+I252+J252+K252+L252</f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82"/>
    </row>
    <row r="253" spans="1:13" ht="21.75" customHeight="1">
      <c r="A253" s="118"/>
      <c r="B253" s="100"/>
      <c r="C253" s="102"/>
      <c r="D253" s="121"/>
      <c r="E253" s="106"/>
      <c r="F253" s="16" t="s">
        <v>15</v>
      </c>
      <c r="G253" s="26">
        <f>H253+I253+J253+K253+L253</f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82"/>
    </row>
    <row r="254" spans="1:13" ht="21.75" customHeight="1" hidden="1" outlineLevel="1">
      <c r="A254" s="116" t="s">
        <v>85</v>
      </c>
      <c r="B254" s="98" t="s">
        <v>70</v>
      </c>
      <c r="C254" s="101" t="s">
        <v>125</v>
      </c>
      <c r="D254" s="101"/>
      <c r="E254" s="101" t="s">
        <v>106</v>
      </c>
      <c r="F254" s="16" t="s">
        <v>12</v>
      </c>
      <c r="G254" s="26">
        <f aca="true" t="shared" si="71" ref="G254:L254">G255+G256+G257</f>
        <v>0</v>
      </c>
      <c r="H254" s="26">
        <f t="shared" si="71"/>
        <v>0</v>
      </c>
      <c r="I254" s="26">
        <f t="shared" si="71"/>
        <v>0</v>
      </c>
      <c r="J254" s="26">
        <f t="shared" si="71"/>
        <v>0</v>
      </c>
      <c r="K254" s="26">
        <f t="shared" si="71"/>
        <v>0</v>
      </c>
      <c r="L254" s="26">
        <f t="shared" si="71"/>
        <v>0</v>
      </c>
      <c r="M254" s="82"/>
    </row>
    <row r="255" spans="1:13" ht="21.75" customHeight="1" hidden="1" outlineLevel="1">
      <c r="A255" s="117"/>
      <c r="B255" s="99"/>
      <c r="C255" s="102"/>
      <c r="D255" s="102"/>
      <c r="E255" s="102"/>
      <c r="F255" s="16" t="s">
        <v>13</v>
      </c>
      <c r="G255" s="26">
        <f>H255+I255+J255+K255+L255</f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82"/>
    </row>
    <row r="256" spans="1:13" ht="21.75" customHeight="1" hidden="1" outlineLevel="1">
      <c r="A256" s="117"/>
      <c r="B256" s="99"/>
      <c r="C256" s="102"/>
      <c r="D256" s="102"/>
      <c r="E256" s="102"/>
      <c r="F256" s="16" t="s">
        <v>14</v>
      </c>
      <c r="G256" s="26">
        <f>H256+I256+J256+K256+L256</f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82"/>
    </row>
    <row r="257" spans="1:13" ht="21.75" customHeight="1" hidden="1" outlineLevel="1">
      <c r="A257" s="118"/>
      <c r="B257" s="100"/>
      <c r="C257" s="102"/>
      <c r="D257" s="106"/>
      <c r="E257" s="106"/>
      <c r="F257" s="16" t="s">
        <v>15</v>
      </c>
      <c r="G257" s="26">
        <f>H257+I257+J257+K257+L257</f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82"/>
    </row>
    <row r="258" spans="1:13" ht="21.75" customHeight="1" hidden="1" outlineLevel="1">
      <c r="A258" s="116" t="s">
        <v>112</v>
      </c>
      <c r="B258" s="98" t="s">
        <v>91</v>
      </c>
      <c r="C258" s="101" t="s">
        <v>125</v>
      </c>
      <c r="D258" s="101"/>
      <c r="E258" s="101" t="s">
        <v>106</v>
      </c>
      <c r="F258" s="16" t="s">
        <v>12</v>
      </c>
      <c r="G258" s="26">
        <f aca="true" t="shared" si="72" ref="G258:L258">G259+G260+G261</f>
        <v>0</v>
      </c>
      <c r="H258" s="26">
        <f t="shared" si="72"/>
        <v>0</v>
      </c>
      <c r="I258" s="26">
        <f t="shared" si="72"/>
        <v>0</v>
      </c>
      <c r="J258" s="26">
        <f t="shared" si="72"/>
        <v>0</v>
      </c>
      <c r="K258" s="26">
        <f t="shared" si="72"/>
        <v>0</v>
      </c>
      <c r="L258" s="26">
        <f t="shared" si="72"/>
        <v>0</v>
      </c>
      <c r="M258" s="82"/>
    </row>
    <row r="259" spans="1:13" ht="21.75" customHeight="1" hidden="1" outlineLevel="1">
      <c r="A259" s="117"/>
      <c r="B259" s="99"/>
      <c r="C259" s="102"/>
      <c r="D259" s="102"/>
      <c r="E259" s="102"/>
      <c r="F259" s="16" t="s">
        <v>13</v>
      </c>
      <c r="G259" s="26">
        <f>H259+I259+J259+K259+L259</f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82"/>
    </row>
    <row r="260" spans="1:13" ht="21.75" customHeight="1" hidden="1" outlineLevel="1">
      <c r="A260" s="117"/>
      <c r="B260" s="99"/>
      <c r="C260" s="102"/>
      <c r="D260" s="102"/>
      <c r="E260" s="102"/>
      <c r="F260" s="16" t="s">
        <v>14</v>
      </c>
      <c r="G260" s="26">
        <f>H260+I260+J260+K260+L260</f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82"/>
    </row>
    <row r="261" spans="1:13" ht="21.75" customHeight="1" hidden="1" outlineLevel="1">
      <c r="A261" s="118"/>
      <c r="B261" s="100"/>
      <c r="C261" s="102"/>
      <c r="D261" s="106"/>
      <c r="E261" s="106"/>
      <c r="F261" s="16" t="s">
        <v>15</v>
      </c>
      <c r="G261" s="26">
        <f>H261+I261+J261+K261+L261</f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82"/>
    </row>
    <row r="262" spans="1:13" ht="21.75" customHeight="1" hidden="1" outlineLevel="1">
      <c r="A262" s="75"/>
      <c r="B262" s="98" t="s">
        <v>105</v>
      </c>
      <c r="C262" s="101" t="s">
        <v>125</v>
      </c>
      <c r="D262" s="101"/>
      <c r="E262" s="101" t="s">
        <v>106</v>
      </c>
      <c r="F262" s="16" t="s">
        <v>12</v>
      </c>
      <c r="G262" s="26">
        <f aca="true" t="shared" si="73" ref="G262:L262">G263+G264+G265</f>
        <v>0</v>
      </c>
      <c r="H262" s="26">
        <f t="shared" si="73"/>
        <v>0</v>
      </c>
      <c r="I262" s="26">
        <f t="shared" si="73"/>
        <v>0</v>
      </c>
      <c r="J262" s="26">
        <f t="shared" si="73"/>
        <v>0</v>
      </c>
      <c r="K262" s="26">
        <f t="shared" si="73"/>
        <v>0</v>
      </c>
      <c r="L262" s="26">
        <f t="shared" si="73"/>
        <v>0</v>
      </c>
      <c r="M262" s="82"/>
    </row>
    <row r="263" spans="1:13" ht="21.75" customHeight="1" hidden="1" outlineLevel="1">
      <c r="A263" s="75" t="s">
        <v>113</v>
      </c>
      <c r="B263" s="99"/>
      <c r="C263" s="102"/>
      <c r="D263" s="102"/>
      <c r="E263" s="102"/>
      <c r="F263" s="16" t="s">
        <v>13</v>
      </c>
      <c r="G263" s="27">
        <f>H263+I263+J263+K263+L263</f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82"/>
    </row>
    <row r="264" spans="1:13" ht="21.75" customHeight="1" hidden="1" outlineLevel="1">
      <c r="A264" s="75"/>
      <c r="B264" s="99"/>
      <c r="C264" s="102"/>
      <c r="D264" s="102"/>
      <c r="E264" s="102"/>
      <c r="F264" s="16" t="s">
        <v>14</v>
      </c>
      <c r="G264" s="27">
        <f>H264+I264+J264+K264+L264</f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82"/>
    </row>
    <row r="265" spans="1:13" ht="21.75" customHeight="1" hidden="1" outlineLevel="1">
      <c r="A265" s="75"/>
      <c r="B265" s="100"/>
      <c r="C265" s="102"/>
      <c r="D265" s="106"/>
      <c r="E265" s="106"/>
      <c r="F265" s="16" t="s">
        <v>15</v>
      </c>
      <c r="G265" s="27">
        <f>H265+I265+J265+K265+L265</f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122"/>
    </row>
    <row r="266" spans="1:13" ht="21.75" customHeight="1" collapsed="1">
      <c r="A266" s="107">
        <v>5</v>
      </c>
      <c r="B266" s="110" t="s">
        <v>152</v>
      </c>
      <c r="C266" s="113" t="s">
        <v>125</v>
      </c>
      <c r="D266" s="45"/>
      <c r="E266" s="113" t="s">
        <v>106</v>
      </c>
      <c r="F266" s="39" t="s">
        <v>12</v>
      </c>
      <c r="G266" s="40">
        <f aca="true" t="shared" si="74" ref="G266:L266">G267+G268+G269</f>
        <v>70520420.16</v>
      </c>
      <c r="H266" s="40">
        <f t="shared" si="74"/>
        <v>13370422.13</v>
      </c>
      <c r="I266" s="40">
        <f t="shared" si="74"/>
        <v>13699325.03</v>
      </c>
      <c r="J266" s="40">
        <f t="shared" si="74"/>
        <v>14738271</v>
      </c>
      <c r="K266" s="40">
        <f t="shared" si="74"/>
        <v>14288224</v>
      </c>
      <c r="L266" s="40">
        <f t="shared" si="74"/>
        <v>14424178</v>
      </c>
      <c r="M266" s="76"/>
    </row>
    <row r="267" spans="1:13" ht="21.75" customHeight="1">
      <c r="A267" s="108"/>
      <c r="B267" s="111"/>
      <c r="C267" s="114"/>
      <c r="D267" s="46"/>
      <c r="E267" s="114"/>
      <c r="F267" s="39" t="s">
        <v>13</v>
      </c>
      <c r="G267" s="40">
        <f>H267+I267+J267+K267+L267</f>
        <v>70520420.16</v>
      </c>
      <c r="H267" s="40">
        <f aca="true" t="shared" si="75" ref="H267:L269">H271</f>
        <v>13370422.13</v>
      </c>
      <c r="I267" s="40">
        <f t="shared" si="75"/>
        <v>13699325.03</v>
      </c>
      <c r="J267" s="40">
        <f t="shared" si="75"/>
        <v>14738271</v>
      </c>
      <c r="K267" s="40">
        <f t="shared" si="75"/>
        <v>14288224</v>
      </c>
      <c r="L267" s="40">
        <f t="shared" si="75"/>
        <v>14424178</v>
      </c>
      <c r="M267" s="76"/>
    </row>
    <row r="268" spans="1:13" ht="21.75" customHeight="1">
      <c r="A268" s="108"/>
      <c r="B268" s="111"/>
      <c r="C268" s="114"/>
      <c r="D268" s="46"/>
      <c r="E268" s="114"/>
      <c r="F268" s="39" t="s">
        <v>14</v>
      </c>
      <c r="G268" s="40">
        <f>H268+I268+J268+K268+L268</f>
        <v>0</v>
      </c>
      <c r="H268" s="40">
        <f t="shared" si="75"/>
        <v>0</v>
      </c>
      <c r="I268" s="40">
        <f t="shared" si="75"/>
        <v>0</v>
      </c>
      <c r="J268" s="40">
        <f t="shared" si="75"/>
        <v>0</v>
      </c>
      <c r="K268" s="40">
        <f t="shared" si="75"/>
        <v>0</v>
      </c>
      <c r="L268" s="40">
        <f t="shared" si="75"/>
        <v>0</v>
      </c>
      <c r="M268" s="76"/>
    </row>
    <row r="269" spans="1:13" ht="21.75" customHeight="1">
      <c r="A269" s="109"/>
      <c r="B269" s="112"/>
      <c r="C269" s="115"/>
      <c r="D269" s="47"/>
      <c r="E269" s="115"/>
      <c r="F269" s="39" t="s">
        <v>15</v>
      </c>
      <c r="G269" s="40">
        <f>H269+I269+J269+K269+L269</f>
        <v>0</v>
      </c>
      <c r="H269" s="40">
        <f t="shared" si="75"/>
        <v>0</v>
      </c>
      <c r="I269" s="40">
        <f t="shared" si="75"/>
        <v>0</v>
      </c>
      <c r="J269" s="40">
        <f t="shared" si="75"/>
        <v>0</v>
      </c>
      <c r="K269" s="40">
        <f t="shared" si="75"/>
        <v>0</v>
      </c>
      <c r="L269" s="40">
        <f t="shared" si="75"/>
        <v>0</v>
      </c>
      <c r="M269" s="76"/>
    </row>
    <row r="270" spans="1:13" ht="21.75" customHeight="1">
      <c r="A270" s="116" t="s">
        <v>74</v>
      </c>
      <c r="B270" s="98" t="s">
        <v>79</v>
      </c>
      <c r="C270" s="101" t="s">
        <v>125</v>
      </c>
      <c r="D270" s="101" t="s">
        <v>143</v>
      </c>
      <c r="E270" s="101" t="s">
        <v>106</v>
      </c>
      <c r="F270" s="16" t="s">
        <v>12</v>
      </c>
      <c r="G270" s="26">
        <f aca="true" t="shared" si="76" ref="G270:L270">G271+G272+G273</f>
        <v>70520420.16</v>
      </c>
      <c r="H270" s="26">
        <f t="shared" si="76"/>
        <v>13370422.13</v>
      </c>
      <c r="I270" s="26">
        <f t="shared" si="76"/>
        <v>13699325.03</v>
      </c>
      <c r="J270" s="26">
        <f t="shared" si="76"/>
        <v>14738271</v>
      </c>
      <c r="K270" s="26">
        <f t="shared" si="76"/>
        <v>14288224</v>
      </c>
      <c r="L270" s="26">
        <f t="shared" si="76"/>
        <v>14424178</v>
      </c>
      <c r="M270" s="81" t="s">
        <v>80</v>
      </c>
    </row>
    <row r="271" spans="1:13" ht="21.75" customHeight="1">
      <c r="A271" s="117"/>
      <c r="B271" s="99"/>
      <c r="C271" s="102"/>
      <c r="D271" s="102"/>
      <c r="E271" s="102"/>
      <c r="F271" s="16" t="s">
        <v>13</v>
      </c>
      <c r="G271" s="26">
        <f>H271+I271+J271+K271+L271</f>
        <v>70520420.16</v>
      </c>
      <c r="H271" s="26">
        <f>13390422.13-20000</f>
        <v>13370422.13</v>
      </c>
      <c r="I271" s="26">
        <v>13699325.03</v>
      </c>
      <c r="J271" s="26">
        <f>14153616+449044+135611</f>
        <v>14738271</v>
      </c>
      <c r="K271" s="26">
        <f>14288224</f>
        <v>14288224</v>
      </c>
      <c r="L271" s="26">
        <f>14424178</f>
        <v>14424178</v>
      </c>
      <c r="M271" s="82"/>
    </row>
    <row r="272" spans="1:13" ht="21.75" customHeight="1">
      <c r="A272" s="117"/>
      <c r="B272" s="99"/>
      <c r="C272" s="102"/>
      <c r="D272" s="102"/>
      <c r="E272" s="102"/>
      <c r="F272" s="16" t="s">
        <v>14</v>
      </c>
      <c r="G272" s="26">
        <f>H272+I272+J272+K272+L272</f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82"/>
    </row>
    <row r="273" spans="1:13" ht="21.75" customHeight="1">
      <c r="A273" s="118"/>
      <c r="B273" s="100"/>
      <c r="C273" s="106"/>
      <c r="D273" s="106"/>
      <c r="E273" s="106"/>
      <c r="F273" s="16" t="s">
        <v>15</v>
      </c>
      <c r="G273" s="26">
        <f>H273+I273+J273+K273+L273</f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82"/>
    </row>
    <row r="274" spans="1:13" ht="23.25" customHeight="1" hidden="1" outlineLevel="1">
      <c r="A274" s="107">
        <v>6</v>
      </c>
      <c r="B274" s="110" t="s">
        <v>205</v>
      </c>
      <c r="C274" s="113" t="s">
        <v>125</v>
      </c>
      <c r="D274" s="45"/>
      <c r="E274" s="113" t="s">
        <v>106</v>
      </c>
      <c r="F274" s="39" t="s">
        <v>12</v>
      </c>
      <c r="G274" s="40">
        <f aca="true" t="shared" si="77" ref="G274:L274">G275+G276+G277</f>
        <v>0</v>
      </c>
      <c r="H274" s="40">
        <f t="shared" si="77"/>
        <v>0</v>
      </c>
      <c r="I274" s="40">
        <f t="shared" si="77"/>
        <v>0</v>
      </c>
      <c r="J274" s="40">
        <f t="shared" si="77"/>
        <v>0</v>
      </c>
      <c r="K274" s="40">
        <f t="shared" si="77"/>
        <v>0</v>
      </c>
      <c r="L274" s="40">
        <f t="shared" si="77"/>
        <v>0</v>
      </c>
      <c r="M274" s="76"/>
    </row>
    <row r="275" spans="1:13" ht="23.25" customHeight="1" hidden="1" outlineLevel="1">
      <c r="A275" s="108"/>
      <c r="B275" s="178"/>
      <c r="C275" s="114"/>
      <c r="D275" s="46"/>
      <c r="E275" s="114"/>
      <c r="F275" s="39" t="s">
        <v>13</v>
      </c>
      <c r="G275" s="40">
        <f>H275+I275+J275+K275+L275</f>
        <v>0</v>
      </c>
      <c r="H275" s="40">
        <f aca="true" t="shared" si="78" ref="H275:L277">H279</f>
        <v>0</v>
      </c>
      <c r="I275" s="40">
        <f t="shared" si="78"/>
        <v>0</v>
      </c>
      <c r="J275" s="40">
        <f t="shared" si="78"/>
        <v>0</v>
      </c>
      <c r="K275" s="40">
        <f t="shared" si="78"/>
        <v>0</v>
      </c>
      <c r="L275" s="40">
        <f t="shared" si="78"/>
        <v>0</v>
      </c>
      <c r="M275" s="76"/>
    </row>
    <row r="276" spans="1:13" ht="23.25" customHeight="1" hidden="1" outlineLevel="1">
      <c r="A276" s="108"/>
      <c r="B276" s="178"/>
      <c r="C276" s="114"/>
      <c r="D276" s="46"/>
      <c r="E276" s="114"/>
      <c r="F276" s="39" t="s">
        <v>14</v>
      </c>
      <c r="G276" s="40">
        <f>H276+I276+J276+K276+L276</f>
        <v>0</v>
      </c>
      <c r="H276" s="40">
        <f t="shared" si="78"/>
        <v>0</v>
      </c>
      <c r="I276" s="40">
        <f t="shared" si="78"/>
        <v>0</v>
      </c>
      <c r="J276" s="40">
        <f t="shared" si="78"/>
        <v>0</v>
      </c>
      <c r="K276" s="40">
        <f t="shared" si="78"/>
        <v>0</v>
      </c>
      <c r="L276" s="40">
        <f t="shared" si="78"/>
        <v>0</v>
      </c>
      <c r="M276" s="76"/>
    </row>
    <row r="277" spans="1:13" ht="27" customHeight="1" hidden="1" outlineLevel="1">
      <c r="A277" s="109"/>
      <c r="B277" s="179"/>
      <c r="C277" s="115"/>
      <c r="D277" s="47"/>
      <c r="E277" s="115"/>
      <c r="F277" s="39" t="s">
        <v>15</v>
      </c>
      <c r="G277" s="40">
        <f>H277+I277+J277+K277+L277</f>
        <v>0</v>
      </c>
      <c r="H277" s="40">
        <f t="shared" si="78"/>
        <v>0</v>
      </c>
      <c r="I277" s="40">
        <f t="shared" si="78"/>
        <v>0</v>
      </c>
      <c r="J277" s="40">
        <f t="shared" si="78"/>
        <v>0</v>
      </c>
      <c r="K277" s="40">
        <f t="shared" si="78"/>
        <v>0</v>
      </c>
      <c r="L277" s="40">
        <f t="shared" si="78"/>
        <v>0</v>
      </c>
      <c r="M277" s="76"/>
    </row>
    <row r="278" spans="1:13" ht="21.75" customHeight="1" hidden="1" outlineLevel="1">
      <c r="A278" s="116" t="s">
        <v>196</v>
      </c>
      <c r="B278" s="98" t="s">
        <v>195</v>
      </c>
      <c r="C278" s="101" t="s">
        <v>125</v>
      </c>
      <c r="D278" s="101" t="s">
        <v>143</v>
      </c>
      <c r="E278" s="101" t="s">
        <v>106</v>
      </c>
      <c r="F278" s="16" t="s">
        <v>12</v>
      </c>
      <c r="G278" s="26">
        <f aca="true" t="shared" si="79" ref="G278:L278">G279+G280+G281</f>
        <v>0</v>
      </c>
      <c r="H278" s="26">
        <f t="shared" si="79"/>
        <v>0</v>
      </c>
      <c r="I278" s="26">
        <f t="shared" si="79"/>
        <v>0</v>
      </c>
      <c r="J278" s="26">
        <f t="shared" si="79"/>
        <v>0</v>
      </c>
      <c r="K278" s="26">
        <f t="shared" si="79"/>
        <v>0</v>
      </c>
      <c r="L278" s="26">
        <f t="shared" si="79"/>
        <v>0</v>
      </c>
      <c r="M278" s="157" t="s">
        <v>204</v>
      </c>
    </row>
    <row r="279" spans="1:13" ht="21.75" customHeight="1" hidden="1" outlineLevel="1">
      <c r="A279" s="117"/>
      <c r="B279" s="99"/>
      <c r="C279" s="102"/>
      <c r="D279" s="102"/>
      <c r="E279" s="102"/>
      <c r="F279" s="16" t="s">
        <v>13</v>
      </c>
      <c r="G279" s="26">
        <f>H279+I279+J279+K279+L279</f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158"/>
    </row>
    <row r="280" spans="1:13" ht="21.75" customHeight="1" hidden="1" outlineLevel="1">
      <c r="A280" s="117"/>
      <c r="B280" s="99"/>
      <c r="C280" s="102"/>
      <c r="D280" s="102"/>
      <c r="E280" s="102"/>
      <c r="F280" s="16" t="s">
        <v>14</v>
      </c>
      <c r="G280" s="26">
        <f>H280+I280+J280+K280+L280</f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158"/>
    </row>
    <row r="281" spans="1:13" ht="21.75" customHeight="1" hidden="1" outlineLevel="1">
      <c r="A281" s="118"/>
      <c r="B281" s="100"/>
      <c r="C281" s="106"/>
      <c r="D281" s="106"/>
      <c r="E281" s="106"/>
      <c r="F281" s="16" t="s">
        <v>15</v>
      </c>
      <c r="G281" s="26">
        <f>H281+I281+J281+K281+L281</f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158"/>
    </row>
    <row r="282" spans="1:13" ht="21.75" customHeight="1" hidden="1" outlineLevel="1">
      <c r="A282" s="107">
        <v>7</v>
      </c>
      <c r="B282" s="110" t="s">
        <v>201</v>
      </c>
      <c r="C282" s="113" t="s">
        <v>125</v>
      </c>
      <c r="D282" s="45"/>
      <c r="E282" s="113" t="s">
        <v>106</v>
      </c>
      <c r="F282" s="39" t="s">
        <v>12</v>
      </c>
      <c r="G282" s="40">
        <f aca="true" t="shared" si="80" ref="G282:L282">G283+G284+G285</f>
        <v>0</v>
      </c>
      <c r="H282" s="40">
        <f t="shared" si="80"/>
        <v>0</v>
      </c>
      <c r="I282" s="40">
        <f t="shared" si="80"/>
        <v>0</v>
      </c>
      <c r="J282" s="40">
        <f t="shared" si="80"/>
        <v>0</v>
      </c>
      <c r="K282" s="40">
        <f t="shared" si="80"/>
        <v>0</v>
      </c>
      <c r="L282" s="40">
        <f t="shared" si="80"/>
        <v>0</v>
      </c>
      <c r="M282" s="76"/>
    </row>
    <row r="283" spans="1:13" ht="21.75" customHeight="1" hidden="1" outlineLevel="1">
      <c r="A283" s="108"/>
      <c r="B283" s="111"/>
      <c r="C283" s="114"/>
      <c r="D283" s="46"/>
      <c r="E283" s="114"/>
      <c r="F283" s="39" t="s">
        <v>13</v>
      </c>
      <c r="G283" s="40">
        <f>H283+I283+J283+K283+L283</f>
        <v>0</v>
      </c>
      <c r="H283" s="40">
        <f aca="true" t="shared" si="81" ref="H283:L285">H287</f>
        <v>0</v>
      </c>
      <c r="I283" s="40">
        <f t="shared" si="81"/>
        <v>0</v>
      </c>
      <c r="J283" s="40">
        <f t="shared" si="81"/>
        <v>0</v>
      </c>
      <c r="K283" s="40">
        <f t="shared" si="81"/>
        <v>0</v>
      </c>
      <c r="L283" s="40">
        <f t="shared" si="81"/>
        <v>0</v>
      </c>
      <c r="M283" s="76"/>
    </row>
    <row r="284" spans="1:13" ht="21.75" customHeight="1" hidden="1" outlineLevel="1">
      <c r="A284" s="108"/>
      <c r="B284" s="111"/>
      <c r="C284" s="114"/>
      <c r="D284" s="46"/>
      <c r="E284" s="114"/>
      <c r="F284" s="39" t="s">
        <v>14</v>
      </c>
      <c r="G284" s="40">
        <f>H284+I284+J284+K284+L284</f>
        <v>0</v>
      </c>
      <c r="H284" s="40">
        <f t="shared" si="81"/>
        <v>0</v>
      </c>
      <c r="I284" s="40">
        <f t="shared" si="81"/>
        <v>0</v>
      </c>
      <c r="J284" s="40">
        <f t="shared" si="81"/>
        <v>0</v>
      </c>
      <c r="K284" s="40">
        <f t="shared" si="81"/>
        <v>0</v>
      </c>
      <c r="L284" s="40">
        <f t="shared" si="81"/>
        <v>0</v>
      </c>
      <c r="M284" s="76"/>
    </row>
    <row r="285" spans="1:13" ht="21.75" customHeight="1" hidden="1" outlineLevel="1">
      <c r="A285" s="109"/>
      <c r="B285" s="112"/>
      <c r="C285" s="115"/>
      <c r="D285" s="47"/>
      <c r="E285" s="115"/>
      <c r="F285" s="39" t="s">
        <v>15</v>
      </c>
      <c r="G285" s="40">
        <f>H285+I285+J285+K285+L285</f>
        <v>0</v>
      </c>
      <c r="H285" s="40">
        <f t="shared" si="81"/>
        <v>0</v>
      </c>
      <c r="I285" s="40">
        <f t="shared" si="81"/>
        <v>0</v>
      </c>
      <c r="J285" s="40">
        <f t="shared" si="81"/>
        <v>0</v>
      </c>
      <c r="K285" s="40">
        <f t="shared" si="81"/>
        <v>0</v>
      </c>
      <c r="L285" s="40">
        <f t="shared" si="81"/>
        <v>0</v>
      </c>
      <c r="M285" s="76"/>
    </row>
    <row r="286" spans="1:13" ht="30.75" customHeight="1" hidden="1" outlineLevel="1">
      <c r="A286" s="116" t="s">
        <v>198</v>
      </c>
      <c r="B286" s="98" t="s">
        <v>197</v>
      </c>
      <c r="C286" s="101" t="s">
        <v>125</v>
      </c>
      <c r="D286" s="101" t="s">
        <v>143</v>
      </c>
      <c r="E286" s="101" t="s">
        <v>106</v>
      </c>
      <c r="F286" s="16" t="s">
        <v>12</v>
      </c>
      <c r="G286" s="26">
        <f aca="true" t="shared" si="82" ref="G286:L286">G287+G288+G289</f>
        <v>0</v>
      </c>
      <c r="H286" s="26">
        <f t="shared" si="82"/>
        <v>0</v>
      </c>
      <c r="I286" s="26">
        <f t="shared" si="82"/>
        <v>0</v>
      </c>
      <c r="J286" s="26">
        <f t="shared" si="82"/>
        <v>0</v>
      </c>
      <c r="K286" s="26">
        <f t="shared" si="82"/>
        <v>0</v>
      </c>
      <c r="L286" s="26">
        <f t="shared" si="82"/>
        <v>0</v>
      </c>
      <c r="M286" s="180" t="s">
        <v>203</v>
      </c>
    </row>
    <row r="287" spans="1:13" ht="30.75" customHeight="1" hidden="1" outlineLevel="1">
      <c r="A287" s="117"/>
      <c r="B287" s="99"/>
      <c r="C287" s="102"/>
      <c r="D287" s="102"/>
      <c r="E287" s="102"/>
      <c r="F287" s="16" t="s">
        <v>13</v>
      </c>
      <c r="G287" s="26">
        <f>H287+I287+J287+K287+L287</f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181"/>
    </row>
    <row r="288" spans="1:13" ht="30.75" customHeight="1" hidden="1" outlineLevel="1">
      <c r="A288" s="117"/>
      <c r="B288" s="99"/>
      <c r="C288" s="102"/>
      <c r="D288" s="102"/>
      <c r="E288" s="102"/>
      <c r="F288" s="16" t="s">
        <v>14</v>
      </c>
      <c r="G288" s="26">
        <f>H288+I288+J288+K288+L288</f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181"/>
    </row>
    <row r="289" spans="1:13" ht="30.75" customHeight="1" hidden="1" outlineLevel="1">
      <c r="A289" s="118"/>
      <c r="B289" s="100"/>
      <c r="C289" s="106"/>
      <c r="D289" s="106"/>
      <c r="E289" s="106"/>
      <c r="F289" s="16" t="s">
        <v>15</v>
      </c>
      <c r="G289" s="26">
        <f>H289+I289+J289+K289+L289</f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181"/>
    </row>
    <row r="290" spans="1:13" ht="21.75" customHeight="1" collapsed="1">
      <c r="A290" s="83" t="s">
        <v>75</v>
      </c>
      <c r="B290" s="86" t="s">
        <v>76</v>
      </c>
      <c r="C290" s="87"/>
      <c r="D290" s="87"/>
      <c r="E290" s="88"/>
      <c r="F290" s="55" t="s">
        <v>12</v>
      </c>
      <c r="G290" s="56">
        <f aca="true" t="shared" si="83" ref="G290:L290">G291+G292+G293</f>
        <v>5338029365.679999</v>
      </c>
      <c r="H290" s="56">
        <f t="shared" si="83"/>
        <v>952111245</v>
      </c>
      <c r="I290" s="56">
        <f t="shared" si="83"/>
        <v>1061957868.3599999</v>
      </c>
      <c r="J290" s="56">
        <f t="shared" si="83"/>
        <v>1187310336.8600001</v>
      </c>
      <c r="K290" s="56">
        <f t="shared" si="83"/>
        <v>1080229167.43</v>
      </c>
      <c r="L290" s="56">
        <f t="shared" si="83"/>
        <v>1056420748.03</v>
      </c>
      <c r="M290" s="76"/>
    </row>
    <row r="291" spans="1:13" ht="21.75" customHeight="1">
      <c r="A291" s="84"/>
      <c r="B291" s="89"/>
      <c r="C291" s="90"/>
      <c r="D291" s="90"/>
      <c r="E291" s="91"/>
      <c r="F291" s="55" t="s">
        <v>13</v>
      </c>
      <c r="G291" s="56">
        <f>H291+I291+J291+K291+L291</f>
        <v>1389670151.56</v>
      </c>
      <c r="H291" s="56">
        <f aca="true" t="shared" si="84" ref="H291:L293">H283+H235+H211+H171+H11+H267+H275</f>
        <v>257261460.35</v>
      </c>
      <c r="I291" s="56">
        <f t="shared" si="84"/>
        <v>274006749.57</v>
      </c>
      <c r="J291" s="56">
        <f t="shared" si="84"/>
        <v>297792208.55</v>
      </c>
      <c r="K291" s="56">
        <f t="shared" si="84"/>
        <v>281447941.77</v>
      </c>
      <c r="L291" s="56">
        <f t="shared" si="84"/>
        <v>279161791.32</v>
      </c>
      <c r="M291" s="76"/>
    </row>
    <row r="292" spans="1:13" ht="21.75" customHeight="1">
      <c r="A292" s="84"/>
      <c r="B292" s="89"/>
      <c r="C292" s="90"/>
      <c r="D292" s="90"/>
      <c r="E292" s="91"/>
      <c r="F292" s="55" t="s">
        <v>14</v>
      </c>
      <c r="G292" s="56">
        <f>H292+I292+J292+K292+L292</f>
        <v>3559057195.66</v>
      </c>
      <c r="H292" s="56">
        <f t="shared" si="84"/>
        <v>674427650.65</v>
      </c>
      <c r="I292" s="56">
        <f t="shared" si="84"/>
        <v>721973504.3299999</v>
      </c>
      <c r="J292" s="56">
        <f t="shared" si="84"/>
        <v>706225878.3100001</v>
      </c>
      <c r="K292" s="56">
        <f t="shared" si="84"/>
        <v>726427675.6600001</v>
      </c>
      <c r="L292" s="56">
        <f t="shared" si="84"/>
        <v>730002486.7099999</v>
      </c>
      <c r="M292" s="76"/>
    </row>
    <row r="293" spans="1:13" ht="21.75" customHeight="1">
      <c r="A293" s="85"/>
      <c r="B293" s="92"/>
      <c r="C293" s="93"/>
      <c r="D293" s="93"/>
      <c r="E293" s="94"/>
      <c r="F293" s="55" t="s">
        <v>15</v>
      </c>
      <c r="G293" s="56">
        <f>H293+I293+J293+K293+L293</f>
        <v>389302018.46</v>
      </c>
      <c r="H293" s="56">
        <f t="shared" si="84"/>
        <v>20422134</v>
      </c>
      <c r="I293" s="56">
        <f t="shared" si="84"/>
        <v>65977614.45999999</v>
      </c>
      <c r="J293" s="56">
        <f t="shared" si="84"/>
        <v>183292250</v>
      </c>
      <c r="K293" s="56">
        <f t="shared" si="84"/>
        <v>72353550</v>
      </c>
      <c r="L293" s="56">
        <f t="shared" si="84"/>
        <v>47256470</v>
      </c>
      <c r="M293" s="76"/>
    </row>
    <row r="294" spans="9:12" ht="16.5">
      <c r="I294" s="48">
        <f>'[4]остатки средств в ФК_9'!$R$101-1600000</f>
        <v>1061957868.36</v>
      </c>
      <c r="J294" s="48">
        <f>'[10]остатки средств в ФК_3'!$R$101</f>
        <v>1187310336.86</v>
      </c>
      <c r="K294" s="48">
        <f>'[12]СРБ на план. период_1'!$T$80</f>
        <v>1080229167.43</v>
      </c>
      <c r="L294" s="48">
        <f>'[12]СРБ на план. период_1'!$U$80</f>
        <v>1056420748.03</v>
      </c>
    </row>
    <row r="295" spans="9:12" ht="16.5">
      <c r="I295" s="48">
        <f>I290-I294</f>
        <v>0</v>
      </c>
      <c r="J295" s="48">
        <f>J290-J294</f>
        <v>0</v>
      </c>
      <c r="K295" s="48">
        <f>K290-K294</f>
        <v>0</v>
      </c>
      <c r="L295" s="48">
        <f>L290-L294</f>
        <v>0</v>
      </c>
    </row>
    <row r="296" spans="10:12" ht="16.5">
      <c r="J296" s="34"/>
      <c r="L296" s="34"/>
    </row>
    <row r="297" spans="1:41" s="21" customFormat="1" ht="16.5">
      <c r="A297" s="2"/>
      <c r="B297" s="18"/>
      <c r="C297" s="17"/>
      <c r="D297" s="2"/>
      <c r="E297" s="2"/>
      <c r="F297" s="2"/>
      <c r="I297" s="34"/>
      <c r="M297" s="3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0:12" ht="16.5">
      <c r="J302" s="34"/>
      <c r="K302" s="34"/>
      <c r="L302" s="34"/>
    </row>
  </sheetData>
  <sheetProtection/>
  <mergeCells count="379"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G7:L7"/>
    <mergeCell ref="M7:M8"/>
    <mergeCell ref="A10:A13"/>
    <mergeCell ref="B10:B13"/>
    <mergeCell ref="C10:C13"/>
    <mergeCell ref="D10:D13"/>
    <mergeCell ref="E10:E13"/>
    <mergeCell ref="M10:M13"/>
    <mergeCell ref="A14:A17"/>
    <mergeCell ref="B14:B17"/>
    <mergeCell ref="C14:C17"/>
    <mergeCell ref="D14:D17"/>
    <mergeCell ref="E14:E17"/>
    <mergeCell ref="M14:M33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E22:E25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A34:A37"/>
    <mergeCell ref="B34:B37"/>
    <mergeCell ref="C34:C37"/>
    <mergeCell ref="D34:D37"/>
    <mergeCell ref="E34:E37"/>
    <mergeCell ref="M34:M81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M82:M85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M98:M121"/>
    <mergeCell ref="A102:A105"/>
    <mergeCell ref="B102:B105"/>
    <mergeCell ref="C102:C105"/>
    <mergeCell ref="D102:D105"/>
    <mergeCell ref="E102:E105"/>
    <mergeCell ref="A106:A109"/>
    <mergeCell ref="B106:B109"/>
    <mergeCell ref="C106:C109"/>
    <mergeCell ref="D106:D109"/>
    <mergeCell ref="E106:E109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D130:D133"/>
    <mergeCell ref="E130:E133"/>
    <mergeCell ref="A134:A137"/>
    <mergeCell ref="B134:B137"/>
    <mergeCell ref="C134:C137"/>
    <mergeCell ref="D134:D137"/>
    <mergeCell ref="E134:E137"/>
    <mergeCell ref="Y134:Y137"/>
    <mergeCell ref="A138:A141"/>
    <mergeCell ref="B138:B141"/>
    <mergeCell ref="C138:C141"/>
    <mergeCell ref="D138:D141"/>
    <mergeCell ref="E138:E141"/>
    <mergeCell ref="A142:A145"/>
    <mergeCell ref="B142:B145"/>
    <mergeCell ref="C142:C145"/>
    <mergeCell ref="D142:D145"/>
    <mergeCell ref="E142:E145"/>
    <mergeCell ref="M142:M145"/>
    <mergeCell ref="A146:A149"/>
    <mergeCell ref="B146:B149"/>
    <mergeCell ref="C146:C149"/>
    <mergeCell ref="D146:D149"/>
    <mergeCell ref="E146:E149"/>
    <mergeCell ref="M146:M149"/>
    <mergeCell ref="A150:A153"/>
    <mergeCell ref="B150:B153"/>
    <mergeCell ref="C150:C153"/>
    <mergeCell ref="D150:D153"/>
    <mergeCell ref="E150:E153"/>
    <mergeCell ref="M150:M153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M158:M161"/>
    <mergeCell ref="A162:A165"/>
    <mergeCell ref="B162:B165"/>
    <mergeCell ref="C162:C165"/>
    <mergeCell ref="D162:D165"/>
    <mergeCell ref="E162:E165"/>
    <mergeCell ref="M162:M165"/>
    <mergeCell ref="A166:A169"/>
    <mergeCell ref="B166:B169"/>
    <mergeCell ref="C166:C169"/>
    <mergeCell ref="D166:D169"/>
    <mergeCell ref="E166:E169"/>
    <mergeCell ref="M166:M169"/>
    <mergeCell ref="A170:A173"/>
    <mergeCell ref="B170:B173"/>
    <mergeCell ref="C170:C173"/>
    <mergeCell ref="D170:D173"/>
    <mergeCell ref="E170:E173"/>
    <mergeCell ref="M170:M173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M210:M213"/>
    <mergeCell ref="A214:A217"/>
    <mergeCell ref="B214:B217"/>
    <mergeCell ref="C214:C217"/>
    <mergeCell ref="D214:D217"/>
    <mergeCell ref="E214:E217"/>
    <mergeCell ref="M214:M233"/>
    <mergeCell ref="A218:A221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E230:E233"/>
    <mergeCell ref="A234:A237"/>
    <mergeCell ref="B234:B237"/>
    <mergeCell ref="C234:C237"/>
    <mergeCell ref="D234:D237"/>
    <mergeCell ref="E234:E237"/>
    <mergeCell ref="M234:M237"/>
    <mergeCell ref="A238:A241"/>
    <mergeCell ref="B238:B241"/>
    <mergeCell ref="C238:C241"/>
    <mergeCell ref="D238:D241"/>
    <mergeCell ref="E238:E241"/>
    <mergeCell ref="M238:M265"/>
    <mergeCell ref="A242:A245"/>
    <mergeCell ref="B242:B245"/>
    <mergeCell ref="C242:C245"/>
    <mergeCell ref="D242:D245"/>
    <mergeCell ref="E254:E257"/>
    <mergeCell ref="E242:E245"/>
    <mergeCell ref="A246:A249"/>
    <mergeCell ref="B246:B249"/>
    <mergeCell ref="C246:C249"/>
    <mergeCell ref="D246:D249"/>
    <mergeCell ref="E246:E249"/>
    <mergeCell ref="E262:E265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D270:D273"/>
    <mergeCell ref="E270:E273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C278:C281"/>
    <mergeCell ref="D278:D281"/>
    <mergeCell ref="E278:E281"/>
    <mergeCell ref="A266:A269"/>
    <mergeCell ref="B266:B269"/>
    <mergeCell ref="C266:C269"/>
    <mergeCell ref="E266:E269"/>
    <mergeCell ref="A270:A273"/>
    <mergeCell ref="B270:B273"/>
    <mergeCell ref="C270:C273"/>
    <mergeCell ref="C286:C289"/>
    <mergeCell ref="D286:D289"/>
    <mergeCell ref="E286:E289"/>
    <mergeCell ref="M270:M273"/>
    <mergeCell ref="A274:A277"/>
    <mergeCell ref="B274:B277"/>
    <mergeCell ref="C274:C277"/>
    <mergeCell ref="E274:E277"/>
    <mergeCell ref="A278:A281"/>
    <mergeCell ref="B278:B281"/>
    <mergeCell ref="M286:M289"/>
    <mergeCell ref="A290:A293"/>
    <mergeCell ref="B290:E293"/>
    <mergeCell ref="M278:M281"/>
    <mergeCell ref="A282:A285"/>
    <mergeCell ref="B282:B285"/>
    <mergeCell ref="C282:C285"/>
    <mergeCell ref="E282:E285"/>
    <mergeCell ref="A286:A289"/>
    <mergeCell ref="B286:B289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43" r:id="rId3"/>
  <rowBreaks count="3" manualBreakCount="3">
    <brk id="57" max="12" man="1"/>
    <brk id="121" max="12" man="1"/>
    <brk id="24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02"/>
  <sheetViews>
    <sheetView tabSelected="1" view="pageBreakPreview" zoomScale="80" zoomScaleSheetLayoutView="8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251" sqref="G251"/>
    </sheetView>
  </sheetViews>
  <sheetFormatPr defaultColWidth="9.140625" defaultRowHeight="12.75" outlineLevelRow="1"/>
  <cols>
    <col min="1" max="1" width="11.28125" style="2" customWidth="1"/>
    <col min="2" max="2" width="52.421875" style="18" customWidth="1"/>
    <col min="3" max="3" width="14.28125" style="17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1" customWidth="1"/>
    <col min="13" max="13" width="65.7109375" style="31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176" t="s">
        <v>209</v>
      </c>
      <c r="L1" s="176"/>
      <c r="M1" s="176"/>
      <c r="N1" s="3"/>
      <c r="O1" s="3"/>
      <c r="P1" s="3"/>
    </row>
    <row r="2" spans="1:14" ht="16.5">
      <c r="A2" s="1"/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22"/>
      <c r="M2" s="28" t="s">
        <v>211</v>
      </c>
      <c r="N2" s="3"/>
    </row>
    <row r="3" spans="1:13" ht="16.5">
      <c r="A3" s="1"/>
      <c r="B3" s="177" t="s">
        <v>2</v>
      </c>
      <c r="C3" s="177"/>
      <c r="D3" s="177"/>
      <c r="E3" s="177"/>
      <c r="F3" s="177"/>
      <c r="G3" s="177"/>
      <c r="H3" s="177"/>
      <c r="I3" s="177"/>
      <c r="J3" s="177"/>
      <c r="K3" s="177"/>
      <c r="L3" s="23"/>
      <c r="M3" s="28" t="s">
        <v>118</v>
      </c>
    </row>
    <row r="4" spans="1:13" ht="15.75" customHeight="1">
      <c r="A4" s="1"/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7"/>
      <c r="L4" s="24"/>
      <c r="M4" s="29"/>
    </row>
    <row r="5" spans="1:13" ht="16.5">
      <c r="A5" s="1"/>
      <c r="H5" s="34"/>
      <c r="I5" s="38">
        <f>I20+I40+I44+I48+I52+I96+I104+I120</f>
        <v>628554600</v>
      </c>
      <c r="J5" s="73">
        <f>J20+J40+J44+J48+J52+J96+J104+J120</f>
        <v>628988200</v>
      </c>
      <c r="K5" s="73">
        <f>K20+K40+K44+K48+K52+K96+K104+K120</f>
        <v>640756000</v>
      </c>
      <c r="L5" s="73">
        <f>L20+L40+L44+L48+L52+L96+L104+L120</f>
        <v>661037500</v>
      </c>
      <c r="M5" s="74" t="s">
        <v>199</v>
      </c>
    </row>
    <row r="6" spans="1:13" ht="16.5">
      <c r="A6" s="1"/>
      <c r="H6" s="34"/>
      <c r="I6" s="38"/>
      <c r="J6" s="73">
        <f>J28+J60+J116-2040.87</f>
        <v>49959872.00000001</v>
      </c>
      <c r="K6" s="73">
        <f>K28+K60+K116</f>
        <v>31348796</v>
      </c>
      <c r="L6" s="73">
        <f>L28+L60+L116</f>
        <v>52557201</v>
      </c>
      <c r="M6" s="74" t="s">
        <v>200</v>
      </c>
    </row>
    <row r="7" spans="1:13" s="32" customFormat="1" ht="21.75" customHeight="1">
      <c r="A7" s="168" t="s">
        <v>3</v>
      </c>
      <c r="B7" s="168" t="s">
        <v>4</v>
      </c>
      <c r="C7" s="168" t="s">
        <v>5</v>
      </c>
      <c r="D7" s="168" t="s">
        <v>121</v>
      </c>
      <c r="E7" s="168" t="s">
        <v>6</v>
      </c>
      <c r="F7" s="168" t="s">
        <v>7</v>
      </c>
      <c r="G7" s="165" t="s">
        <v>8</v>
      </c>
      <c r="H7" s="166"/>
      <c r="I7" s="166"/>
      <c r="J7" s="166"/>
      <c r="K7" s="166"/>
      <c r="L7" s="167"/>
      <c r="M7" s="168" t="s">
        <v>9</v>
      </c>
    </row>
    <row r="8" spans="1:13" s="32" customFormat="1" ht="21.75" customHeight="1">
      <c r="A8" s="169"/>
      <c r="B8" s="169"/>
      <c r="C8" s="169"/>
      <c r="D8" s="169"/>
      <c r="E8" s="169"/>
      <c r="F8" s="169"/>
      <c r="G8" s="20" t="s">
        <v>10</v>
      </c>
      <c r="H8" s="19">
        <v>2020</v>
      </c>
      <c r="I8" s="33">
        <v>2021</v>
      </c>
      <c r="J8" s="19">
        <v>2022</v>
      </c>
      <c r="K8" s="19">
        <v>2023</v>
      </c>
      <c r="L8" s="19">
        <v>2024</v>
      </c>
      <c r="M8" s="169"/>
    </row>
    <row r="9" spans="1:13" s="17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5">
        <v>6</v>
      </c>
      <c r="H9" s="25">
        <v>9</v>
      </c>
      <c r="I9" s="25">
        <v>10</v>
      </c>
      <c r="J9" s="25">
        <v>10</v>
      </c>
      <c r="K9" s="25">
        <v>9</v>
      </c>
      <c r="L9" s="25">
        <v>10</v>
      </c>
      <c r="M9" s="30">
        <v>11</v>
      </c>
    </row>
    <row r="10" spans="1:14" ht="30.75" customHeight="1">
      <c r="A10" s="107" t="s">
        <v>11</v>
      </c>
      <c r="B10" s="170" t="s">
        <v>146</v>
      </c>
      <c r="C10" s="113" t="s">
        <v>125</v>
      </c>
      <c r="D10" s="134" t="s">
        <v>122</v>
      </c>
      <c r="E10" s="113" t="s">
        <v>106</v>
      </c>
      <c r="F10" s="39" t="s">
        <v>12</v>
      </c>
      <c r="G10" s="40">
        <f aca="true" t="shared" si="0" ref="G10:L10">G11+G12+G13</f>
        <v>4936337516.05</v>
      </c>
      <c r="H10" s="40">
        <f t="shared" si="0"/>
        <v>914744851.35</v>
      </c>
      <c r="I10" s="40">
        <f t="shared" si="0"/>
        <v>1015842407.56</v>
      </c>
      <c r="J10" s="40">
        <f t="shared" si="0"/>
        <v>995918869.6000001</v>
      </c>
      <c r="K10" s="40">
        <f t="shared" si="0"/>
        <v>985287176.07</v>
      </c>
      <c r="L10" s="40">
        <f t="shared" si="0"/>
        <v>1024544211.47</v>
      </c>
      <c r="M10" s="173"/>
      <c r="N10" s="3"/>
    </row>
    <row r="11" spans="1:14" ht="30.75" customHeight="1">
      <c r="A11" s="108"/>
      <c r="B11" s="171"/>
      <c r="C11" s="114"/>
      <c r="D11" s="139"/>
      <c r="E11" s="114"/>
      <c r="F11" s="39" t="s">
        <v>13</v>
      </c>
      <c r="G11" s="40">
        <f>H11+I11+J11+K11+L11</f>
        <v>1245473998.49</v>
      </c>
      <c r="H11" s="41">
        <f aca="true" t="shared" si="1" ref="H11:L13">H15+H35+H87+H99+H123</f>
        <v>231636913.84</v>
      </c>
      <c r="I11" s="41">
        <f t="shared" si="1"/>
        <v>246634835.64</v>
      </c>
      <c r="J11" s="41">
        <f t="shared" si="1"/>
        <v>260027476.08</v>
      </c>
      <c r="K11" s="41">
        <f t="shared" si="1"/>
        <v>255520105.61</v>
      </c>
      <c r="L11" s="41">
        <f t="shared" si="1"/>
        <v>251654667.32</v>
      </c>
      <c r="M11" s="174"/>
      <c r="N11" s="3"/>
    </row>
    <row r="12" spans="1:14" ht="30.75" customHeight="1">
      <c r="A12" s="108"/>
      <c r="B12" s="171"/>
      <c r="C12" s="114"/>
      <c r="D12" s="139"/>
      <c r="E12" s="114"/>
      <c r="F12" s="39" t="s">
        <v>14</v>
      </c>
      <c r="G12" s="40">
        <f>H12+I12+J12+K12+L12</f>
        <v>3464623099.1</v>
      </c>
      <c r="H12" s="41">
        <f t="shared" si="1"/>
        <v>662685803.51</v>
      </c>
      <c r="I12" s="41">
        <f t="shared" si="1"/>
        <v>703229957.4599999</v>
      </c>
      <c r="J12" s="41">
        <f t="shared" si="1"/>
        <v>689354343.5200001</v>
      </c>
      <c r="K12" s="41">
        <f t="shared" si="1"/>
        <v>683719920.46</v>
      </c>
      <c r="L12" s="41">
        <f t="shared" si="1"/>
        <v>725633074.15</v>
      </c>
      <c r="M12" s="174"/>
      <c r="N12" s="3"/>
    </row>
    <row r="13" spans="1:14" ht="30.75" customHeight="1">
      <c r="A13" s="109"/>
      <c r="B13" s="172"/>
      <c r="C13" s="115"/>
      <c r="D13" s="140"/>
      <c r="E13" s="115"/>
      <c r="F13" s="39" t="s">
        <v>15</v>
      </c>
      <c r="G13" s="40">
        <f>H13+I13+J13+K13+L13</f>
        <v>226240418.45999998</v>
      </c>
      <c r="H13" s="41">
        <f t="shared" si="1"/>
        <v>20422134</v>
      </c>
      <c r="I13" s="41">
        <f t="shared" si="1"/>
        <v>65977614.45999999</v>
      </c>
      <c r="J13" s="41">
        <f t="shared" si="1"/>
        <v>46537050</v>
      </c>
      <c r="K13" s="41">
        <f t="shared" si="1"/>
        <v>46047150</v>
      </c>
      <c r="L13" s="41">
        <f t="shared" si="1"/>
        <v>47256470</v>
      </c>
      <c r="M13" s="175"/>
      <c r="N13" s="3"/>
    </row>
    <row r="14" spans="1:14" ht="21.75" customHeight="1">
      <c r="A14" s="160" t="s">
        <v>16</v>
      </c>
      <c r="B14" s="162" t="s">
        <v>17</v>
      </c>
      <c r="C14" s="151" t="s">
        <v>125</v>
      </c>
      <c r="D14" s="154" t="s">
        <v>122</v>
      </c>
      <c r="E14" s="151" t="s">
        <v>106</v>
      </c>
      <c r="F14" s="42" t="s">
        <v>12</v>
      </c>
      <c r="G14" s="43">
        <f aca="true" t="shared" si="2" ref="G14:L14">G15+G16+G17</f>
        <v>1592296910.24</v>
      </c>
      <c r="H14" s="43">
        <f t="shared" si="2"/>
        <v>300410153.05</v>
      </c>
      <c r="I14" s="43">
        <f t="shared" si="2"/>
        <v>317186259.79</v>
      </c>
      <c r="J14" s="43">
        <f t="shared" si="2"/>
        <v>317301726.38</v>
      </c>
      <c r="K14" s="43">
        <f t="shared" si="2"/>
        <v>324356091.39</v>
      </c>
      <c r="L14" s="43">
        <f t="shared" si="2"/>
        <v>333042679.63</v>
      </c>
      <c r="M14" s="81" t="s">
        <v>153</v>
      </c>
      <c r="N14" s="3"/>
    </row>
    <row r="15" spans="1:14" ht="21.75" customHeight="1">
      <c r="A15" s="161"/>
      <c r="B15" s="163"/>
      <c r="C15" s="152"/>
      <c r="D15" s="155"/>
      <c r="E15" s="152"/>
      <c r="F15" s="42" t="s">
        <v>13</v>
      </c>
      <c r="G15" s="43">
        <f>H15+I15+J15+K15+L15</f>
        <v>494926723.07</v>
      </c>
      <c r="H15" s="44">
        <f aca="true" t="shared" si="3" ref="H15:L17">H19+H23+H27+H31</f>
        <v>96147672.62</v>
      </c>
      <c r="I15" s="44">
        <f t="shared" si="3"/>
        <v>99727111.45</v>
      </c>
      <c r="J15" s="44">
        <f>J19+J23+J27+J31</f>
        <v>100148170</v>
      </c>
      <c r="K15" s="44">
        <f t="shared" si="3"/>
        <v>99281183</v>
      </c>
      <c r="L15" s="44">
        <f t="shared" si="3"/>
        <v>99622586</v>
      </c>
      <c r="M15" s="82"/>
      <c r="N15" s="3"/>
    </row>
    <row r="16" spans="1:14" ht="21.75" customHeight="1">
      <c r="A16" s="161"/>
      <c r="B16" s="163"/>
      <c r="C16" s="152"/>
      <c r="D16" s="155"/>
      <c r="E16" s="152"/>
      <c r="F16" s="42" t="s">
        <v>14</v>
      </c>
      <c r="G16" s="43">
        <f>H16+I16+J16+K16+L16</f>
        <v>1097370187.17</v>
      </c>
      <c r="H16" s="44">
        <f t="shared" si="3"/>
        <v>204262480.43</v>
      </c>
      <c r="I16" s="44">
        <f t="shared" si="3"/>
        <v>217459148.34</v>
      </c>
      <c r="J16" s="44">
        <f>J20+J24+J28+J32</f>
        <v>217153556.38</v>
      </c>
      <c r="K16" s="44">
        <f t="shared" si="3"/>
        <v>225074908.39</v>
      </c>
      <c r="L16" s="44">
        <f t="shared" si="3"/>
        <v>233420093.63</v>
      </c>
      <c r="M16" s="82"/>
      <c r="N16" s="3"/>
    </row>
    <row r="17" spans="1:14" ht="21.75" customHeight="1">
      <c r="A17" s="161"/>
      <c r="B17" s="163"/>
      <c r="C17" s="152"/>
      <c r="D17" s="156"/>
      <c r="E17" s="152"/>
      <c r="F17" s="42" t="s">
        <v>15</v>
      </c>
      <c r="G17" s="43">
        <f>H17+I17+J17+K17+L17</f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  <c r="L17" s="44">
        <f t="shared" si="3"/>
        <v>0</v>
      </c>
      <c r="M17" s="82"/>
      <c r="N17" s="3"/>
    </row>
    <row r="18" spans="1:14" ht="21.75" customHeight="1">
      <c r="A18" s="164" t="s">
        <v>18</v>
      </c>
      <c r="B18" s="142" t="s">
        <v>19</v>
      </c>
      <c r="C18" s="101" t="s">
        <v>125</v>
      </c>
      <c r="D18" s="103" t="s">
        <v>122</v>
      </c>
      <c r="E18" s="101" t="s">
        <v>106</v>
      </c>
      <c r="F18" s="16" t="s">
        <v>12</v>
      </c>
      <c r="G18" s="26">
        <f aca="true" t="shared" si="4" ref="G18:L18">G19+G20+G21</f>
        <v>1456331905.77</v>
      </c>
      <c r="H18" s="26">
        <f t="shared" si="4"/>
        <v>271391628.05</v>
      </c>
      <c r="I18" s="26">
        <f t="shared" si="4"/>
        <v>286733835.72</v>
      </c>
      <c r="J18" s="26">
        <f t="shared" si="4"/>
        <v>292765935</v>
      </c>
      <c r="K18" s="26">
        <f t="shared" si="4"/>
        <v>299447900</v>
      </c>
      <c r="L18" s="26">
        <f t="shared" si="4"/>
        <v>305992607</v>
      </c>
      <c r="M18" s="82"/>
      <c r="N18" s="3"/>
    </row>
    <row r="19" spans="1:14" ht="21.75" customHeight="1">
      <c r="A19" s="117"/>
      <c r="B19" s="143"/>
      <c r="C19" s="102"/>
      <c r="D19" s="104"/>
      <c r="E19" s="102"/>
      <c r="F19" s="16" t="s">
        <v>13</v>
      </c>
      <c r="G19" s="26">
        <f>H19+I19+J19+K19+L19</f>
        <v>490889822.84000003</v>
      </c>
      <c r="H19" s="26">
        <v>95367218.62</v>
      </c>
      <c r="I19" s="26">
        <f>98500729.44+251771.78</f>
        <v>98752501.22</v>
      </c>
      <c r="J19" s="26">
        <f>99927242-500000</f>
        <v>99427242</v>
      </c>
      <c r="K19" s="26">
        <v>98500729</v>
      </c>
      <c r="L19" s="26">
        <v>98842132</v>
      </c>
      <c r="M19" s="82"/>
      <c r="N19" s="3"/>
    </row>
    <row r="20" spans="1:14" ht="21.75" customHeight="1">
      <c r="A20" s="117"/>
      <c r="B20" s="143"/>
      <c r="C20" s="102"/>
      <c r="D20" s="104"/>
      <c r="E20" s="102"/>
      <c r="F20" s="16" t="s">
        <v>14</v>
      </c>
      <c r="G20" s="26">
        <f>H20+I20+J20+K20+L20</f>
        <v>965442082.9300001</v>
      </c>
      <c r="H20" s="26">
        <f>176152309.43-127900</f>
        <v>176024409.43</v>
      </c>
      <c r="I20" s="26">
        <f>188109234.5-127900</f>
        <v>187981334.5</v>
      </c>
      <c r="J20" s="26">
        <f>193465907-127214</f>
        <v>193338693</v>
      </c>
      <c r="K20" s="26">
        <f>201074385-127214</f>
        <v>200947171</v>
      </c>
      <c r="L20" s="26">
        <f>207277689-127214</f>
        <v>207150475</v>
      </c>
      <c r="M20" s="82"/>
      <c r="N20" s="3"/>
    </row>
    <row r="21" spans="1:14" ht="21.75" customHeight="1">
      <c r="A21" s="117"/>
      <c r="B21" s="143"/>
      <c r="C21" s="102"/>
      <c r="D21" s="105"/>
      <c r="E21" s="102"/>
      <c r="F21" s="16" t="s">
        <v>15</v>
      </c>
      <c r="G21" s="26">
        <f>H21+I21+J21+K21+L21</f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82"/>
      <c r="N21" s="3"/>
    </row>
    <row r="22" spans="1:14" ht="21.75" customHeight="1">
      <c r="A22" s="116" t="s">
        <v>20</v>
      </c>
      <c r="B22" s="142" t="s">
        <v>21</v>
      </c>
      <c r="C22" s="101" t="s">
        <v>125</v>
      </c>
      <c r="D22" s="103" t="s">
        <v>122</v>
      </c>
      <c r="E22" s="101" t="s">
        <v>106</v>
      </c>
      <c r="F22" s="16" t="s">
        <v>12</v>
      </c>
      <c r="G22" s="26">
        <f aca="true" t="shared" si="5" ref="G22:L22">G23+G24+G25</f>
        <v>4036900.23</v>
      </c>
      <c r="H22" s="26">
        <f t="shared" si="5"/>
        <v>780454</v>
      </c>
      <c r="I22" s="26">
        <f t="shared" si="5"/>
        <v>974610.2300000001</v>
      </c>
      <c r="J22" s="26">
        <f t="shared" si="5"/>
        <v>720928</v>
      </c>
      <c r="K22" s="26">
        <f t="shared" si="5"/>
        <v>780454</v>
      </c>
      <c r="L22" s="26">
        <f t="shared" si="5"/>
        <v>780454</v>
      </c>
      <c r="M22" s="82"/>
      <c r="N22" s="3"/>
    </row>
    <row r="23" spans="1:17" ht="21.75" customHeight="1">
      <c r="A23" s="117"/>
      <c r="B23" s="143"/>
      <c r="C23" s="102"/>
      <c r="D23" s="104"/>
      <c r="E23" s="102"/>
      <c r="F23" s="16" t="s">
        <v>13</v>
      </c>
      <c r="G23" s="26">
        <f>H23+I23+J23+K23+L23</f>
        <v>4036900.23</v>
      </c>
      <c r="H23" s="26">
        <v>780454</v>
      </c>
      <c r="I23" s="26">
        <f>858767.75+78575.57+37266.91</f>
        <v>974610.2300000001</v>
      </c>
      <c r="J23" s="26">
        <v>720928</v>
      </c>
      <c r="K23" s="26">
        <v>780454</v>
      </c>
      <c r="L23" s="26">
        <v>780454</v>
      </c>
      <c r="M23" s="82"/>
      <c r="N23" s="3"/>
      <c r="Q23" s="3"/>
    </row>
    <row r="24" spans="1:14" ht="21.75" customHeight="1">
      <c r="A24" s="117"/>
      <c r="B24" s="143"/>
      <c r="C24" s="102"/>
      <c r="D24" s="104"/>
      <c r="E24" s="102"/>
      <c r="F24" s="16" t="s">
        <v>14</v>
      </c>
      <c r="G24" s="26">
        <f>H24+I24+J24+K24+L24</f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82"/>
      <c r="N24" s="3"/>
    </row>
    <row r="25" spans="1:14" ht="21.75" customHeight="1">
      <c r="A25" s="118"/>
      <c r="B25" s="144"/>
      <c r="C25" s="102"/>
      <c r="D25" s="105"/>
      <c r="E25" s="106"/>
      <c r="F25" s="16" t="s">
        <v>15</v>
      </c>
      <c r="G25" s="26">
        <f>H25+I25+J25+K25+L25</f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82"/>
      <c r="N25" s="3"/>
    </row>
    <row r="26" spans="1:14" ht="21.75" customHeight="1">
      <c r="A26" s="116" t="s">
        <v>22</v>
      </c>
      <c r="B26" s="142" t="s">
        <v>23</v>
      </c>
      <c r="C26" s="101" t="s">
        <v>125</v>
      </c>
      <c r="D26" s="103" t="s">
        <v>122</v>
      </c>
      <c r="E26" s="101" t="s">
        <v>106</v>
      </c>
      <c r="F26" s="16" t="s">
        <v>12</v>
      </c>
      <c r="G26" s="26">
        <f aca="true" t="shared" si="6" ref="G26:L26">G27+G28+G29</f>
        <v>88824973.84</v>
      </c>
      <c r="H26" s="26">
        <f t="shared" si="6"/>
        <v>18787671</v>
      </c>
      <c r="I26" s="26">
        <f t="shared" si="6"/>
        <v>19609249.84</v>
      </c>
      <c r="J26" s="26">
        <f t="shared" si="6"/>
        <v>16488454</v>
      </c>
      <c r="K26" s="26">
        <f t="shared" si="6"/>
        <v>16087000</v>
      </c>
      <c r="L26" s="26">
        <f t="shared" si="6"/>
        <v>17852599</v>
      </c>
      <c r="M26" s="82"/>
      <c r="N26" s="3"/>
    </row>
    <row r="27" spans="1:14" ht="21.75" customHeight="1">
      <c r="A27" s="117"/>
      <c r="B27" s="143"/>
      <c r="C27" s="102"/>
      <c r="D27" s="104"/>
      <c r="E27" s="102"/>
      <c r="F27" s="16" t="s">
        <v>13</v>
      </c>
      <c r="G27" s="26">
        <f>H27+I27+J27+K27+L27</f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82"/>
      <c r="N27" s="3"/>
    </row>
    <row r="28" spans="1:14" ht="21.75" customHeight="1">
      <c r="A28" s="117"/>
      <c r="B28" s="143"/>
      <c r="C28" s="102"/>
      <c r="D28" s="104"/>
      <c r="E28" s="102"/>
      <c r="F28" s="16" t="s">
        <v>14</v>
      </c>
      <c r="G28" s="26">
        <f>H28+I28+J28+K28+L28</f>
        <v>88824973.84</v>
      </c>
      <c r="H28" s="26">
        <v>18787671</v>
      </c>
      <c r="I28" s="26">
        <v>19609249.84</v>
      </c>
      <c r="J28" s="26">
        <f>15678454+'[13]остатки средств в ФК_2'!$AG$18</f>
        <v>16488454</v>
      </c>
      <c r="K28" s="26">
        <v>16087000</v>
      </c>
      <c r="L28" s="26">
        <v>17852599</v>
      </c>
      <c r="M28" s="82"/>
      <c r="N28" s="3"/>
    </row>
    <row r="29" spans="1:15" ht="21.75" customHeight="1">
      <c r="A29" s="118"/>
      <c r="B29" s="144"/>
      <c r="C29" s="102"/>
      <c r="D29" s="105"/>
      <c r="E29" s="106"/>
      <c r="F29" s="16" t="s">
        <v>15</v>
      </c>
      <c r="G29" s="26">
        <f>H29+I29+J29+K29+L29</f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82"/>
      <c r="O29" s="3"/>
    </row>
    <row r="30" spans="1:14" ht="21.75" customHeight="1">
      <c r="A30" s="116" t="s">
        <v>107</v>
      </c>
      <c r="B30" s="142" t="s">
        <v>108</v>
      </c>
      <c r="C30" s="101" t="s">
        <v>125</v>
      </c>
      <c r="D30" s="103" t="s">
        <v>122</v>
      </c>
      <c r="E30" s="101" t="s">
        <v>106</v>
      </c>
      <c r="F30" s="16" t="s">
        <v>12</v>
      </c>
      <c r="G30" s="26">
        <f aca="true" t="shared" si="7" ref="G30:L30">G31+G32+G33</f>
        <v>43103130.4</v>
      </c>
      <c r="H30" s="26">
        <f t="shared" si="7"/>
        <v>9450400</v>
      </c>
      <c r="I30" s="26">
        <f t="shared" si="7"/>
        <v>9868564</v>
      </c>
      <c r="J30" s="26">
        <f t="shared" si="7"/>
        <v>7326409.38</v>
      </c>
      <c r="K30" s="26">
        <f t="shared" si="7"/>
        <v>8040737.39</v>
      </c>
      <c r="L30" s="26">
        <f t="shared" si="7"/>
        <v>8417019.63</v>
      </c>
      <c r="M30" s="82"/>
      <c r="N30" s="3"/>
    </row>
    <row r="31" spans="1:13" ht="21.75" customHeight="1">
      <c r="A31" s="117"/>
      <c r="B31" s="143"/>
      <c r="C31" s="102"/>
      <c r="D31" s="104"/>
      <c r="E31" s="102"/>
      <c r="F31" s="16" t="s">
        <v>13</v>
      </c>
      <c r="G31" s="26">
        <f>H31+I31+J31+K31+L31</f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82"/>
    </row>
    <row r="32" spans="1:13" ht="21.75" customHeight="1">
      <c r="A32" s="117"/>
      <c r="B32" s="143"/>
      <c r="C32" s="102"/>
      <c r="D32" s="104"/>
      <c r="E32" s="102"/>
      <c r="F32" s="16" t="s">
        <v>14</v>
      </c>
      <c r="G32" s="26">
        <f>H32+I32+J32+K32+L32</f>
        <v>43103130.4</v>
      </c>
      <c r="H32" s="26">
        <v>9450400</v>
      </c>
      <c r="I32" s="26">
        <v>9868564</v>
      </c>
      <c r="J32" s="26">
        <v>7326409.38</v>
      </c>
      <c r="K32" s="26">
        <v>8040737.39</v>
      </c>
      <c r="L32" s="26">
        <v>8417019.63</v>
      </c>
      <c r="M32" s="82"/>
    </row>
    <row r="33" spans="1:15" ht="21.75" customHeight="1">
      <c r="A33" s="118"/>
      <c r="B33" s="144"/>
      <c r="C33" s="102"/>
      <c r="D33" s="105"/>
      <c r="E33" s="106"/>
      <c r="F33" s="16" t="s">
        <v>15</v>
      </c>
      <c r="G33" s="26">
        <f>H33+I33+J33+K33+L33</f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122"/>
      <c r="O33" s="3"/>
    </row>
    <row r="34" spans="1:13" ht="21.75" customHeight="1">
      <c r="A34" s="145" t="s">
        <v>24</v>
      </c>
      <c r="B34" s="148" t="s">
        <v>119</v>
      </c>
      <c r="C34" s="151" t="s">
        <v>125</v>
      </c>
      <c r="D34" s="154" t="s">
        <v>123</v>
      </c>
      <c r="E34" s="151" t="s">
        <v>106</v>
      </c>
      <c r="F34" s="42" t="s">
        <v>12</v>
      </c>
      <c r="G34" s="43">
        <f aca="true" t="shared" si="8" ref="G34:L34">G35+G36+G37</f>
        <v>2708715771.76</v>
      </c>
      <c r="H34" s="43">
        <f t="shared" si="8"/>
        <v>504882065.72</v>
      </c>
      <c r="I34" s="43">
        <f t="shared" si="8"/>
        <v>556352473.55</v>
      </c>
      <c r="J34" s="43">
        <f t="shared" si="8"/>
        <v>552113675.49</v>
      </c>
      <c r="K34" s="43">
        <f t="shared" si="8"/>
        <v>532206496</v>
      </c>
      <c r="L34" s="43">
        <f t="shared" si="8"/>
        <v>563161061</v>
      </c>
      <c r="M34" s="81" t="s">
        <v>187</v>
      </c>
    </row>
    <row r="35" spans="1:41" ht="21.75" customHeight="1">
      <c r="A35" s="146"/>
      <c r="B35" s="149"/>
      <c r="C35" s="152"/>
      <c r="D35" s="155"/>
      <c r="E35" s="152"/>
      <c r="F35" s="42" t="s">
        <v>13</v>
      </c>
      <c r="G35" s="43">
        <f>H35+I35+J35+K35+L35</f>
        <v>624394989.83</v>
      </c>
      <c r="H35" s="43">
        <f>H39+H43+H47+H51+H55+H59+H63+H67+H79+H71+H83+H75</f>
        <v>113653893.15</v>
      </c>
      <c r="I35" s="43">
        <f>I39+I43+I47+I51+I55+I59+I63+I67+I79+I71+I83+I75</f>
        <v>123014167.74000001</v>
      </c>
      <c r="J35" s="43">
        <f>J39+J43+J47+J51+J55+J59+J63+J67+J79+J71+J83+J75</f>
        <v>131313332.94</v>
      </c>
      <c r="K35" s="43">
        <f>K39+K43+K47+K51+K55+K59+K63+K67+K79+K71+K83+K75</f>
        <v>128173629</v>
      </c>
      <c r="L35" s="43">
        <f>L39+L43+L47+L51+L55+L59+L63+L67+L79+L71+L83+L75</f>
        <v>128239967</v>
      </c>
      <c r="M35" s="82"/>
      <c r="AO35" s="3">
        <f>SUM('бюдж.росп. на 01.08'!$G$34:$AN$81)</f>
        <v>21668214783.360004</v>
      </c>
    </row>
    <row r="36" spans="1:41" ht="21.75" customHeight="1">
      <c r="A36" s="146"/>
      <c r="B36" s="149"/>
      <c r="C36" s="152"/>
      <c r="D36" s="155"/>
      <c r="E36" s="152"/>
      <c r="F36" s="42" t="s">
        <v>14</v>
      </c>
      <c r="G36" s="43">
        <f>H36+I36+J36+K36+L36</f>
        <v>1951238861.93</v>
      </c>
      <c r="H36" s="43">
        <f aca="true" t="shared" si="9" ref="H36:L37">H40+H44+H48+H52+H56+H60+H64+H68+H80+H72+H84+H76</f>
        <v>380646772.57</v>
      </c>
      <c r="I36" s="43">
        <f t="shared" si="9"/>
        <v>402558955.81</v>
      </c>
      <c r="J36" s="43">
        <f t="shared" si="9"/>
        <v>390520992.55</v>
      </c>
      <c r="K36" s="43">
        <f t="shared" si="9"/>
        <v>373753517</v>
      </c>
      <c r="L36" s="43">
        <f t="shared" si="9"/>
        <v>403758624</v>
      </c>
      <c r="M36" s="82"/>
      <c r="AO36" s="3">
        <f>SUM('бюдж.росп. на 01.08'!$G$34:$AN$81)</f>
        <v>21668214783.360004</v>
      </c>
    </row>
    <row r="37" spans="1:41" ht="21.75" customHeight="1">
      <c r="A37" s="147"/>
      <c r="B37" s="150"/>
      <c r="C37" s="153"/>
      <c r="D37" s="156"/>
      <c r="E37" s="153"/>
      <c r="F37" s="42" t="s">
        <v>15</v>
      </c>
      <c r="G37" s="43">
        <f>H37+I37+J37+K37+L37</f>
        <v>133081920</v>
      </c>
      <c r="H37" s="43">
        <f t="shared" si="9"/>
        <v>10581400</v>
      </c>
      <c r="I37" s="43">
        <f t="shared" si="9"/>
        <v>30779350</v>
      </c>
      <c r="J37" s="43">
        <f t="shared" si="9"/>
        <v>30279350</v>
      </c>
      <c r="K37" s="43">
        <f t="shared" si="9"/>
        <v>30279350</v>
      </c>
      <c r="L37" s="43">
        <f t="shared" si="9"/>
        <v>31162470</v>
      </c>
      <c r="M37" s="82"/>
      <c r="AO37" s="3">
        <f>SUM('бюдж.росп. на 01.08'!$G$34:$AN$81)</f>
        <v>21668214783.360004</v>
      </c>
    </row>
    <row r="38" spans="1:41" ht="21.75" customHeight="1">
      <c r="A38" s="116" t="s">
        <v>25</v>
      </c>
      <c r="B38" s="98" t="s">
        <v>26</v>
      </c>
      <c r="C38" s="101" t="s">
        <v>125</v>
      </c>
      <c r="D38" s="103" t="s">
        <v>123</v>
      </c>
      <c r="E38" s="101" t="s">
        <v>106</v>
      </c>
      <c r="F38" s="16" t="s">
        <v>12</v>
      </c>
      <c r="G38" s="26">
        <f aca="true" t="shared" si="10" ref="G38:L38">G39+G40+G41</f>
        <v>3250000</v>
      </c>
      <c r="H38" s="26">
        <f t="shared" si="10"/>
        <v>650000</v>
      </c>
      <c r="I38" s="26">
        <f t="shared" si="10"/>
        <v>650000</v>
      </c>
      <c r="J38" s="26">
        <f t="shared" si="10"/>
        <v>650000</v>
      </c>
      <c r="K38" s="26">
        <f t="shared" si="10"/>
        <v>650000</v>
      </c>
      <c r="L38" s="26">
        <f t="shared" si="10"/>
        <v>650000</v>
      </c>
      <c r="M38" s="82"/>
      <c r="AO38" s="3">
        <f>SUM('бюдж.росп. на 01.08'!$G$34:$AN$81)</f>
        <v>21668214783.360004</v>
      </c>
    </row>
    <row r="39" spans="1:41" ht="21.75" customHeight="1">
      <c r="A39" s="117"/>
      <c r="B39" s="99"/>
      <c r="C39" s="102"/>
      <c r="D39" s="104"/>
      <c r="E39" s="102"/>
      <c r="F39" s="16" t="s">
        <v>13</v>
      </c>
      <c r="G39" s="26">
        <f>H39+I39+J39+K39+L39</f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82"/>
      <c r="AO39" s="3">
        <f>SUM(AO35:AO38)</f>
        <v>86672859133.44002</v>
      </c>
    </row>
    <row r="40" spans="1:13" ht="21.75" customHeight="1">
      <c r="A40" s="117"/>
      <c r="B40" s="99"/>
      <c r="C40" s="102"/>
      <c r="D40" s="104"/>
      <c r="E40" s="102"/>
      <c r="F40" s="16" t="s">
        <v>14</v>
      </c>
      <c r="G40" s="26">
        <f>H40+I40+J40+K40+L40</f>
        <v>3250000</v>
      </c>
      <c r="H40" s="26">
        <v>650000</v>
      </c>
      <c r="I40" s="26">
        <v>650000</v>
      </c>
      <c r="J40" s="26">
        <v>650000</v>
      </c>
      <c r="K40" s="26">
        <v>650000</v>
      </c>
      <c r="L40" s="26">
        <v>650000</v>
      </c>
      <c r="M40" s="82"/>
    </row>
    <row r="41" spans="1:14" ht="21.75" customHeight="1">
      <c r="A41" s="118"/>
      <c r="B41" s="100"/>
      <c r="C41" s="102"/>
      <c r="D41" s="105"/>
      <c r="E41" s="106"/>
      <c r="F41" s="16" t="s">
        <v>15</v>
      </c>
      <c r="G41" s="26">
        <f>H41+I41+J41+K41+L41</f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82"/>
      <c r="N41" s="3"/>
    </row>
    <row r="42" spans="1:15" ht="21.75" customHeight="1">
      <c r="A42" s="116" t="s">
        <v>27</v>
      </c>
      <c r="B42" s="98" t="s">
        <v>28</v>
      </c>
      <c r="C42" s="101" t="s">
        <v>125</v>
      </c>
      <c r="D42" s="103" t="s">
        <v>123</v>
      </c>
      <c r="E42" s="101" t="s">
        <v>106</v>
      </c>
      <c r="F42" s="16" t="s">
        <v>12</v>
      </c>
      <c r="G42" s="26">
        <f aca="true" t="shared" si="11" ref="G42:L42">G43+G44+G45</f>
        <v>43621689</v>
      </c>
      <c r="H42" s="26">
        <f t="shared" si="11"/>
        <v>8744137</v>
      </c>
      <c r="I42" s="26">
        <f t="shared" si="11"/>
        <v>8816768</v>
      </c>
      <c r="J42" s="26">
        <f t="shared" si="11"/>
        <v>8686928</v>
      </c>
      <c r="K42" s="26">
        <f t="shared" si="11"/>
        <v>8686928</v>
      </c>
      <c r="L42" s="26">
        <f t="shared" si="11"/>
        <v>8686928</v>
      </c>
      <c r="M42" s="82"/>
      <c r="O42" s="3"/>
    </row>
    <row r="43" spans="1:13" ht="21.75" customHeight="1">
      <c r="A43" s="117"/>
      <c r="B43" s="99"/>
      <c r="C43" s="102"/>
      <c r="D43" s="104"/>
      <c r="E43" s="102"/>
      <c r="F43" s="16" t="s">
        <v>13</v>
      </c>
      <c r="G43" s="26">
        <f>H43+I43+J43+K43+L43</f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82"/>
    </row>
    <row r="44" spans="1:14" ht="21.75" customHeight="1">
      <c r="A44" s="117"/>
      <c r="B44" s="99"/>
      <c r="C44" s="102"/>
      <c r="D44" s="104"/>
      <c r="E44" s="102"/>
      <c r="F44" s="16" t="s">
        <v>14</v>
      </c>
      <c r="G44" s="26">
        <f>H44+I44+J44+K44+L44</f>
        <v>43621689</v>
      </c>
      <c r="H44" s="26">
        <v>8744137</v>
      </c>
      <c r="I44" s="26">
        <f>8816768</f>
        <v>8816768</v>
      </c>
      <c r="J44" s="26">
        <v>8686928</v>
      </c>
      <c r="K44" s="26">
        <v>8686928</v>
      </c>
      <c r="L44" s="26">
        <v>8686928</v>
      </c>
      <c r="M44" s="82"/>
      <c r="N44" s="6">
        <f>'[1]9 мес 2021'!$H$25-I44</f>
        <v>0</v>
      </c>
    </row>
    <row r="45" spans="1:14" ht="21.75" customHeight="1">
      <c r="A45" s="118"/>
      <c r="B45" s="100"/>
      <c r="C45" s="102"/>
      <c r="D45" s="105"/>
      <c r="E45" s="106"/>
      <c r="F45" s="16" t="s">
        <v>15</v>
      </c>
      <c r="G45" s="26">
        <f>H45+I45+J45+K45+L45</f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82"/>
      <c r="N45" s="7"/>
    </row>
    <row r="46" spans="1:14" ht="21.75" customHeight="1">
      <c r="A46" s="116" t="s">
        <v>29</v>
      </c>
      <c r="B46" s="98" t="s">
        <v>31</v>
      </c>
      <c r="C46" s="101" t="s">
        <v>125</v>
      </c>
      <c r="D46" s="103" t="s">
        <v>123</v>
      </c>
      <c r="E46" s="101" t="s">
        <v>106</v>
      </c>
      <c r="F46" s="16" t="s">
        <v>12</v>
      </c>
      <c r="G46" s="26">
        <f aca="true" t="shared" si="12" ref="G46:L46">G47+G48+G49</f>
        <v>9455460</v>
      </c>
      <c r="H46" s="26">
        <f t="shared" si="12"/>
        <v>1891092</v>
      </c>
      <c r="I46" s="26">
        <f t="shared" si="12"/>
        <v>1891092</v>
      </c>
      <c r="J46" s="26">
        <f t="shared" si="12"/>
        <v>1891092</v>
      </c>
      <c r="K46" s="26">
        <f t="shared" si="12"/>
        <v>1891092</v>
      </c>
      <c r="L46" s="26">
        <f t="shared" si="12"/>
        <v>1891092</v>
      </c>
      <c r="M46" s="82"/>
      <c r="N46" s="7"/>
    </row>
    <row r="47" spans="1:14" ht="21.75" customHeight="1">
      <c r="A47" s="117"/>
      <c r="B47" s="99"/>
      <c r="C47" s="102"/>
      <c r="D47" s="104"/>
      <c r="E47" s="102"/>
      <c r="F47" s="16" t="s">
        <v>13</v>
      </c>
      <c r="G47" s="26">
        <f>H47+I47+J47+K47+L47</f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82"/>
      <c r="N47" s="7"/>
    </row>
    <row r="48" spans="1:14" ht="21.75" customHeight="1">
      <c r="A48" s="117"/>
      <c r="B48" s="99"/>
      <c r="C48" s="102"/>
      <c r="D48" s="104"/>
      <c r="E48" s="102"/>
      <c r="F48" s="16" t="s">
        <v>14</v>
      </c>
      <c r="G48" s="26">
        <f>H48+I48+J48+K48+L48</f>
        <v>9455460</v>
      </c>
      <c r="H48" s="26">
        <v>1891092</v>
      </c>
      <c r="I48" s="26">
        <v>1891092</v>
      </c>
      <c r="J48" s="26">
        <v>1891092</v>
      </c>
      <c r="K48" s="26">
        <v>1891092</v>
      </c>
      <c r="L48" s="26">
        <v>1891092</v>
      </c>
      <c r="M48" s="82"/>
      <c r="N48" s="6"/>
    </row>
    <row r="49" spans="1:13" ht="21.75" customHeight="1">
      <c r="A49" s="118"/>
      <c r="B49" s="100"/>
      <c r="C49" s="102"/>
      <c r="D49" s="105"/>
      <c r="E49" s="106"/>
      <c r="F49" s="16" t="s">
        <v>15</v>
      </c>
      <c r="G49" s="26">
        <f>H49+I49+J49+K49+L49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82"/>
    </row>
    <row r="50" spans="1:14" ht="21.75" customHeight="1">
      <c r="A50" s="116" t="s">
        <v>30</v>
      </c>
      <c r="B50" s="142" t="s">
        <v>33</v>
      </c>
      <c r="C50" s="101" t="s">
        <v>125</v>
      </c>
      <c r="D50" s="103" t="s">
        <v>123</v>
      </c>
      <c r="E50" s="101" t="s">
        <v>106</v>
      </c>
      <c r="F50" s="16" t="s">
        <v>12</v>
      </c>
      <c r="G50" s="26">
        <f aca="true" t="shared" si="13" ref="G50:L50">G51+G52+G53</f>
        <v>2375197700.1099997</v>
      </c>
      <c r="H50" s="26">
        <f t="shared" si="13"/>
        <v>459249705.72</v>
      </c>
      <c r="I50" s="26">
        <f t="shared" si="13"/>
        <v>476025095.39</v>
      </c>
      <c r="J50" s="26">
        <f t="shared" si="13"/>
        <v>477384381</v>
      </c>
      <c r="K50" s="26">
        <f t="shared" si="13"/>
        <v>475658598</v>
      </c>
      <c r="L50" s="26">
        <f t="shared" si="13"/>
        <v>486879920</v>
      </c>
      <c r="M50" s="82"/>
      <c r="N50" s="3"/>
    </row>
    <row r="51" spans="1:15" ht="21.75" customHeight="1">
      <c r="A51" s="117"/>
      <c r="B51" s="143"/>
      <c r="C51" s="102"/>
      <c r="D51" s="104"/>
      <c r="E51" s="102"/>
      <c r="F51" s="16" t="s">
        <v>13</v>
      </c>
      <c r="G51" s="26">
        <f>H51+I51+J51+K51+L51</f>
        <v>611770473.04</v>
      </c>
      <c r="H51" s="26">
        <v>111005611.15</v>
      </c>
      <c r="I51" s="26">
        <f>112774045.47+5964026+1921557.81+130535.61</f>
        <v>120790164.89</v>
      </c>
      <c r="J51" s="26">
        <f>128679717+10000</f>
        <v>128689717</v>
      </c>
      <c r="K51" s="26">
        <v>125609321</v>
      </c>
      <c r="L51" s="26">
        <v>125675659</v>
      </c>
      <c r="M51" s="82"/>
      <c r="O51" s="8"/>
    </row>
    <row r="52" spans="1:14" ht="21.75" customHeight="1">
      <c r="A52" s="117"/>
      <c r="B52" s="143"/>
      <c r="C52" s="102"/>
      <c r="D52" s="104"/>
      <c r="E52" s="102"/>
      <c r="F52" s="16" t="s">
        <v>14</v>
      </c>
      <c r="G52" s="26">
        <f>H52+I52+J52+K52+L52</f>
        <v>1752845827.07</v>
      </c>
      <c r="H52" s="26">
        <f>349241007.57-293084-H40-H44-H48</f>
        <v>337662694.57</v>
      </c>
      <c r="I52" s="26">
        <f>366885874.5-I40-I48-I44-293084</f>
        <v>355234930.5</v>
      </c>
      <c r="J52" s="26">
        <f>347896678-301194-J40-J44-J48-J68+12327200</f>
        <v>348694664</v>
      </c>
      <c r="K52" s="26">
        <f>361578491-301194-K40-K44-K48-K68</f>
        <v>350049277</v>
      </c>
      <c r="L52" s="26">
        <f>372733475-301194-L40-L44-L48-L68</f>
        <v>361204261</v>
      </c>
      <c r="M52" s="82"/>
      <c r="N52" s="3"/>
    </row>
    <row r="53" spans="1:15" ht="21.75" customHeight="1">
      <c r="A53" s="118"/>
      <c r="B53" s="144"/>
      <c r="C53" s="102"/>
      <c r="D53" s="105"/>
      <c r="E53" s="106"/>
      <c r="F53" s="16" t="s">
        <v>15</v>
      </c>
      <c r="G53" s="26">
        <f>H53+I53+J53+K53+L53</f>
        <v>10581400</v>
      </c>
      <c r="H53" s="26">
        <v>10581400</v>
      </c>
      <c r="I53" s="26">
        <v>0</v>
      </c>
      <c r="J53" s="26">
        <v>0</v>
      </c>
      <c r="K53" s="26">
        <v>0</v>
      </c>
      <c r="L53" s="26">
        <v>0</v>
      </c>
      <c r="M53" s="82"/>
      <c r="N53" s="7"/>
      <c r="O53" s="9"/>
    </row>
    <row r="54" spans="1:13" ht="21.75" customHeight="1">
      <c r="A54" s="116" t="s">
        <v>32</v>
      </c>
      <c r="B54" s="142" t="s">
        <v>21</v>
      </c>
      <c r="C54" s="101" t="s">
        <v>125</v>
      </c>
      <c r="D54" s="103" t="s">
        <v>123</v>
      </c>
      <c r="E54" s="101" t="s">
        <v>106</v>
      </c>
      <c r="F54" s="16" t="s">
        <v>12</v>
      </c>
      <c r="G54" s="26">
        <f aca="true" t="shared" si="14" ref="G54:L54">G55+G56+G57</f>
        <v>5370117.65</v>
      </c>
      <c r="H54" s="26">
        <f t="shared" si="14"/>
        <v>1006307</v>
      </c>
      <c r="I54" s="26">
        <f t="shared" si="14"/>
        <v>1385373.84</v>
      </c>
      <c r="J54" s="26">
        <f t="shared" si="14"/>
        <v>965822.81</v>
      </c>
      <c r="K54" s="26">
        <f t="shared" si="14"/>
        <v>1006307</v>
      </c>
      <c r="L54" s="26">
        <f t="shared" si="14"/>
        <v>1006307</v>
      </c>
      <c r="M54" s="82"/>
    </row>
    <row r="55" spans="1:13" ht="21.75" customHeight="1">
      <c r="A55" s="117"/>
      <c r="B55" s="143"/>
      <c r="C55" s="102"/>
      <c r="D55" s="104"/>
      <c r="E55" s="102"/>
      <c r="F55" s="16" t="s">
        <v>13</v>
      </c>
      <c r="G55" s="26">
        <f>H55+I55+J55+K55+L55</f>
        <v>5370117.65</v>
      </c>
      <c r="H55" s="26">
        <v>1006307</v>
      </c>
      <c r="I55" s="26">
        <f>1199420.42+157723.37+28230.05</f>
        <v>1385373.84</v>
      </c>
      <c r="J55" s="26">
        <v>965822.81</v>
      </c>
      <c r="K55" s="26">
        <f>1006307</f>
        <v>1006307</v>
      </c>
      <c r="L55" s="26">
        <v>1006307</v>
      </c>
      <c r="M55" s="82"/>
    </row>
    <row r="56" spans="1:13" ht="21.75" customHeight="1">
      <c r="A56" s="117"/>
      <c r="B56" s="143"/>
      <c r="C56" s="102"/>
      <c r="D56" s="104"/>
      <c r="E56" s="102"/>
      <c r="F56" s="16" t="s">
        <v>14</v>
      </c>
      <c r="G56" s="26">
        <f>H56+I56+J56+K56+L56</f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82"/>
    </row>
    <row r="57" spans="1:13" ht="21.75" customHeight="1">
      <c r="A57" s="118"/>
      <c r="B57" s="144"/>
      <c r="C57" s="102"/>
      <c r="D57" s="105"/>
      <c r="E57" s="106"/>
      <c r="F57" s="16" t="s">
        <v>15</v>
      </c>
      <c r="G57" s="26">
        <f>H57+I57+J57+K57+L57</f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82"/>
    </row>
    <row r="58" spans="1:13" ht="21.75" customHeight="1">
      <c r="A58" s="116" t="s">
        <v>34</v>
      </c>
      <c r="B58" s="142" t="s">
        <v>23</v>
      </c>
      <c r="C58" s="101" t="s">
        <v>125</v>
      </c>
      <c r="D58" s="103" t="s">
        <v>123</v>
      </c>
      <c r="E58" s="101" t="s">
        <v>106</v>
      </c>
      <c r="F58" s="16" t="s">
        <v>12</v>
      </c>
      <c r="G58" s="26">
        <f aca="true" t="shared" si="15" ref="G58:L58">G59+G60+G61</f>
        <v>142171800.87</v>
      </c>
      <c r="H58" s="26">
        <f t="shared" si="15"/>
        <v>31798849</v>
      </c>
      <c r="I58" s="26">
        <f t="shared" si="15"/>
        <v>36091735.87</v>
      </c>
      <c r="J58" s="26">
        <f t="shared" si="15"/>
        <v>30585457</v>
      </c>
      <c r="K58" s="26">
        <f t="shared" si="15"/>
        <v>12422818</v>
      </c>
      <c r="L58" s="26">
        <f t="shared" si="15"/>
        <v>31272941</v>
      </c>
      <c r="M58" s="82"/>
    </row>
    <row r="59" spans="1:13" ht="21.75" customHeight="1">
      <c r="A59" s="117"/>
      <c r="B59" s="143"/>
      <c r="C59" s="102"/>
      <c r="D59" s="104"/>
      <c r="E59" s="102"/>
      <c r="F59" s="16" t="s">
        <v>13</v>
      </c>
      <c r="G59" s="26">
        <f>H59+I59+J59+K59+L59</f>
        <v>325362.69</v>
      </c>
      <c r="H59" s="26">
        <v>100000</v>
      </c>
      <c r="I59" s="26">
        <f>101833.11+23737.45</f>
        <v>125570.56</v>
      </c>
      <c r="J59" s="26">
        <v>99792.13</v>
      </c>
      <c r="K59" s="26">
        <v>0</v>
      </c>
      <c r="L59" s="26">
        <v>0</v>
      </c>
      <c r="M59" s="82"/>
    </row>
    <row r="60" spans="1:13" ht="21.75" customHeight="1">
      <c r="A60" s="117"/>
      <c r="B60" s="143"/>
      <c r="C60" s="102"/>
      <c r="D60" s="104"/>
      <c r="E60" s="102"/>
      <c r="F60" s="16" t="s">
        <v>14</v>
      </c>
      <c r="G60" s="26">
        <f>H60+I60+J60+K60+L60</f>
        <v>141846438.18</v>
      </c>
      <c r="H60" s="26">
        <v>31698849</v>
      </c>
      <c r="I60" s="26">
        <f>35963535.87+2629.44</f>
        <v>35966165.309999995</v>
      </c>
      <c r="J60" s="26">
        <f>28119724+2040.87+'[13]остатки средств в ФК_2'!$AG$32</f>
        <v>30485664.87</v>
      </c>
      <c r="K60" s="26">
        <f>28600000+'[15]СРБ на план. период'!$Y$29</f>
        <v>12422818</v>
      </c>
      <c r="L60" s="26">
        <v>31272941</v>
      </c>
      <c r="M60" s="82"/>
    </row>
    <row r="61" spans="1:13" ht="21.75" customHeight="1">
      <c r="A61" s="118"/>
      <c r="B61" s="144"/>
      <c r="C61" s="102"/>
      <c r="D61" s="105"/>
      <c r="E61" s="106"/>
      <c r="F61" s="16" t="s">
        <v>15</v>
      </c>
      <c r="G61" s="26">
        <f>H61+I61+J61+K61+L61</f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82"/>
    </row>
    <row r="62" spans="1:13" ht="21.75" customHeight="1">
      <c r="A62" s="116" t="s">
        <v>35</v>
      </c>
      <c r="B62" s="98" t="s">
        <v>37</v>
      </c>
      <c r="C62" s="101" t="s">
        <v>125</v>
      </c>
      <c r="D62" s="119" t="s">
        <v>124</v>
      </c>
      <c r="E62" s="101" t="s">
        <v>106</v>
      </c>
      <c r="F62" s="16" t="s">
        <v>12</v>
      </c>
      <c r="G62" s="26">
        <f aca="true" t="shared" si="16" ref="G62:L62">G63+G64+G65</f>
        <v>4800503.45</v>
      </c>
      <c r="H62" s="26">
        <f t="shared" si="16"/>
        <v>1481975</v>
      </c>
      <c r="I62" s="26">
        <f t="shared" si="16"/>
        <v>653058.45</v>
      </c>
      <c r="J62" s="26">
        <f t="shared" si="16"/>
        <v>888490</v>
      </c>
      <c r="K62" s="26">
        <f t="shared" si="16"/>
        <v>888490</v>
      </c>
      <c r="L62" s="26">
        <f t="shared" si="16"/>
        <v>888490</v>
      </c>
      <c r="M62" s="82"/>
    </row>
    <row r="63" spans="1:13" ht="21.75" customHeight="1">
      <c r="A63" s="117"/>
      <c r="B63" s="99"/>
      <c r="C63" s="102"/>
      <c r="D63" s="120"/>
      <c r="E63" s="102"/>
      <c r="F63" s="16" t="s">
        <v>13</v>
      </c>
      <c r="G63" s="26">
        <f>H63+I63+J63+K63+L63</f>
        <v>4800503.45</v>
      </c>
      <c r="H63" s="26">
        <v>1481975</v>
      </c>
      <c r="I63" s="26">
        <f>1481975-602271.91-226644.64</f>
        <v>653058.45</v>
      </c>
      <c r="J63" s="26">
        <v>888490</v>
      </c>
      <c r="K63" s="26">
        <v>888490</v>
      </c>
      <c r="L63" s="26">
        <v>888490</v>
      </c>
      <c r="M63" s="82"/>
    </row>
    <row r="64" spans="1:13" ht="21.75" customHeight="1">
      <c r="A64" s="117"/>
      <c r="B64" s="99"/>
      <c r="C64" s="102"/>
      <c r="D64" s="120"/>
      <c r="E64" s="102"/>
      <c r="F64" s="16" t="s">
        <v>14</v>
      </c>
      <c r="G64" s="26">
        <f>H64+I64+J64+K64+L64</f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82"/>
    </row>
    <row r="65" spans="1:13" ht="21.75" customHeight="1">
      <c r="A65" s="118"/>
      <c r="B65" s="100"/>
      <c r="C65" s="102"/>
      <c r="D65" s="121"/>
      <c r="E65" s="106"/>
      <c r="F65" s="16" t="s">
        <v>15</v>
      </c>
      <c r="G65" s="26">
        <f>H65+I65+J65+K65+L65</f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82"/>
    </row>
    <row r="66" spans="1:13" ht="21.75" customHeight="1">
      <c r="A66" s="116" t="s">
        <v>36</v>
      </c>
      <c r="B66" s="98" t="s">
        <v>39</v>
      </c>
      <c r="C66" s="101" t="s">
        <v>125</v>
      </c>
      <c r="D66" s="103" t="s">
        <v>123</v>
      </c>
      <c r="E66" s="101" t="s">
        <v>106</v>
      </c>
      <c r="F66" s="16" t="s">
        <v>12</v>
      </c>
      <c r="G66" s="26">
        <f aca="true" t="shared" si="17" ref="G66:L66">G67+G68+G69</f>
        <v>0</v>
      </c>
      <c r="H66" s="26">
        <f t="shared" si="17"/>
        <v>0</v>
      </c>
      <c r="I66" s="26">
        <f t="shared" si="17"/>
        <v>0</v>
      </c>
      <c r="J66" s="26">
        <f t="shared" si="17"/>
        <v>0</v>
      </c>
      <c r="K66" s="26">
        <f t="shared" si="17"/>
        <v>0</v>
      </c>
      <c r="L66" s="26">
        <f t="shared" si="17"/>
        <v>0</v>
      </c>
      <c r="M66" s="82"/>
    </row>
    <row r="67" spans="1:13" ht="21.75" customHeight="1">
      <c r="A67" s="117"/>
      <c r="B67" s="99"/>
      <c r="C67" s="102"/>
      <c r="D67" s="104"/>
      <c r="E67" s="102"/>
      <c r="F67" s="16" t="s">
        <v>13</v>
      </c>
      <c r="G67" s="26">
        <f>H67+I67+J67+K67+L67</f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82"/>
    </row>
    <row r="68" spans="1:13" ht="21.75" customHeight="1">
      <c r="A68" s="117"/>
      <c r="B68" s="99"/>
      <c r="C68" s="102"/>
      <c r="D68" s="104"/>
      <c r="E68" s="102"/>
      <c r="F68" s="16" t="s">
        <v>14</v>
      </c>
      <c r="G68" s="26">
        <f>H68+I68+J68+K68+L68</f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82"/>
    </row>
    <row r="69" spans="1:13" ht="21.75" customHeight="1">
      <c r="A69" s="118"/>
      <c r="B69" s="100"/>
      <c r="C69" s="102"/>
      <c r="D69" s="105"/>
      <c r="E69" s="106"/>
      <c r="F69" s="16" t="s">
        <v>15</v>
      </c>
      <c r="G69" s="26">
        <f>H69+I69+J69+K69+L69</f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82"/>
    </row>
    <row r="70" spans="1:13" ht="21.75" customHeight="1">
      <c r="A70" s="116" t="s">
        <v>38</v>
      </c>
      <c r="B70" s="142" t="s">
        <v>185</v>
      </c>
      <c r="C70" s="101" t="s">
        <v>125</v>
      </c>
      <c r="D70" s="103" t="s">
        <v>123</v>
      </c>
      <c r="E70" s="101" t="s">
        <v>106</v>
      </c>
      <c r="F70" s="16" t="s">
        <v>12</v>
      </c>
      <c r="G70" s="26">
        <f aca="true" t="shared" si="18" ref="G70:L70">G71+G72+G73</f>
        <v>122500520</v>
      </c>
      <c r="H70" s="26">
        <f t="shared" si="18"/>
        <v>0</v>
      </c>
      <c r="I70" s="26">
        <f t="shared" si="18"/>
        <v>30779350</v>
      </c>
      <c r="J70" s="26">
        <f t="shared" si="18"/>
        <v>30279350</v>
      </c>
      <c r="K70" s="26">
        <f t="shared" si="18"/>
        <v>30279350</v>
      </c>
      <c r="L70" s="26">
        <f t="shared" si="18"/>
        <v>31162470</v>
      </c>
      <c r="M70" s="82"/>
    </row>
    <row r="71" spans="1:13" ht="21.75" customHeight="1">
      <c r="A71" s="117"/>
      <c r="B71" s="143"/>
      <c r="C71" s="102"/>
      <c r="D71" s="104"/>
      <c r="E71" s="102"/>
      <c r="F71" s="16" t="s">
        <v>13</v>
      </c>
      <c r="G71" s="26">
        <f>H71+I71+J71+K71+L71</f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82"/>
    </row>
    <row r="72" spans="1:13" ht="21.75" customHeight="1">
      <c r="A72" s="117"/>
      <c r="B72" s="143"/>
      <c r="C72" s="102"/>
      <c r="D72" s="104"/>
      <c r="E72" s="102"/>
      <c r="F72" s="16" t="s">
        <v>14</v>
      </c>
      <c r="G72" s="26">
        <f>H72+I72+J72+K72+L72</f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82"/>
    </row>
    <row r="73" spans="1:13" ht="21.75" customHeight="1">
      <c r="A73" s="118"/>
      <c r="B73" s="144"/>
      <c r="C73" s="102"/>
      <c r="D73" s="105"/>
      <c r="E73" s="106"/>
      <c r="F73" s="16" t="s">
        <v>15</v>
      </c>
      <c r="G73" s="26">
        <f>H73+I73+J73+K73+L73</f>
        <v>122500520</v>
      </c>
      <c r="H73" s="26">
        <v>0</v>
      </c>
      <c r="I73" s="26">
        <v>30779350</v>
      </c>
      <c r="J73" s="26">
        <v>30279350</v>
      </c>
      <c r="K73" s="26">
        <v>30279350</v>
      </c>
      <c r="L73" s="26">
        <v>31162470</v>
      </c>
      <c r="M73" s="82"/>
    </row>
    <row r="74" spans="1:13" ht="21.75" customHeight="1">
      <c r="A74" s="95" t="s">
        <v>183</v>
      </c>
      <c r="B74" s="98" t="s">
        <v>182</v>
      </c>
      <c r="C74" s="101" t="s">
        <v>125</v>
      </c>
      <c r="D74" s="103" t="s">
        <v>135</v>
      </c>
      <c r="E74" s="101" t="s">
        <v>106</v>
      </c>
      <c r="F74" s="16" t="s">
        <v>12</v>
      </c>
      <c r="G74" s="26">
        <f aca="true" t="shared" si="19" ref="G74:L74">G75+G76+G77</f>
        <v>1670133</v>
      </c>
      <c r="H74" s="26">
        <f t="shared" si="19"/>
        <v>0</v>
      </c>
      <c r="I74" s="26">
        <f t="shared" si="19"/>
        <v>0</v>
      </c>
      <c r="J74" s="26">
        <f t="shared" si="19"/>
        <v>556711</v>
      </c>
      <c r="K74" s="26">
        <f t="shared" si="19"/>
        <v>556711</v>
      </c>
      <c r="L74" s="26">
        <f t="shared" si="19"/>
        <v>556711</v>
      </c>
      <c r="M74" s="82"/>
    </row>
    <row r="75" spans="1:13" ht="21.75" customHeight="1">
      <c r="A75" s="96"/>
      <c r="B75" s="99"/>
      <c r="C75" s="102"/>
      <c r="D75" s="104"/>
      <c r="E75" s="102"/>
      <c r="F75" s="16" t="s">
        <v>13</v>
      </c>
      <c r="G75" s="26">
        <f>H75+I75+J75+K75+L75</f>
        <v>1670133</v>
      </c>
      <c r="H75" s="26"/>
      <c r="I75" s="26"/>
      <c r="J75" s="26">
        <v>556711</v>
      </c>
      <c r="K75" s="26">
        <v>556711</v>
      </c>
      <c r="L75" s="26">
        <v>556711</v>
      </c>
      <c r="M75" s="82"/>
    </row>
    <row r="76" spans="1:13" ht="21.75" customHeight="1">
      <c r="A76" s="96"/>
      <c r="B76" s="99"/>
      <c r="C76" s="102"/>
      <c r="D76" s="104"/>
      <c r="E76" s="102"/>
      <c r="F76" s="16" t="s">
        <v>14</v>
      </c>
      <c r="G76" s="26">
        <f>H76+I76+J76+K76+L76</f>
        <v>0</v>
      </c>
      <c r="H76" s="26"/>
      <c r="I76" s="26"/>
      <c r="J76" s="26">
        <v>0</v>
      </c>
      <c r="K76" s="26">
        <v>0</v>
      </c>
      <c r="L76" s="26">
        <v>0</v>
      </c>
      <c r="M76" s="82"/>
    </row>
    <row r="77" spans="1:13" ht="21.75" customHeight="1">
      <c r="A77" s="97"/>
      <c r="B77" s="100"/>
      <c r="C77" s="102"/>
      <c r="D77" s="105"/>
      <c r="E77" s="106"/>
      <c r="F77" s="16" t="s">
        <v>15</v>
      </c>
      <c r="G77" s="26">
        <f>H77+I77+J77+K77+L77</f>
        <v>0</v>
      </c>
      <c r="H77" s="26"/>
      <c r="I77" s="26"/>
      <c r="J77" s="26">
        <v>0</v>
      </c>
      <c r="K77" s="26">
        <v>0</v>
      </c>
      <c r="L77" s="26">
        <v>0</v>
      </c>
      <c r="M77" s="82"/>
    </row>
    <row r="78" spans="1:13" ht="21.75" customHeight="1">
      <c r="A78" s="78"/>
      <c r="B78" s="98" t="s">
        <v>83</v>
      </c>
      <c r="C78" s="101" t="s">
        <v>125</v>
      </c>
      <c r="D78" s="119" t="s">
        <v>124</v>
      </c>
      <c r="E78" s="101" t="s">
        <v>106</v>
      </c>
      <c r="F78" s="16" t="s">
        <v>12</v>
      </c>
      <c r="G78" s="26">
        <f aca="true" t="shared" si="20" ref="G78:L78">G79+G80+G81</f>
        <v>300000</v>
      </c>
      <c r="H78" s="26">
        <f>H79+H80+H81</f>
        <v>60000</v>
      </c>
      <c r="I78" s="26">
        <f>I79+I80+I81</f>
        <v>60000</v>
      </c>
      <c r="J78" s="26">
        <f>J79+J80+J81</f>
        <v>60000</v>
      </c>
      <c r="K78" s="26">
        <f t="shared" si="20"/>
        <v>60000</v>
      </c>
      <c r="L78" s="26">
        <f t="shared" si="20"/>
        <v>60000</v>
      </c>
      <c r="M78" s="82"/>
    </row>
    <row r="79" spans="1:13" ht="21.75" customHeight="1">
      <c r="A79" s="78"/>
      <c r="B79" s="99"/>
      <c r="C79" s="102"/>
      <c r="D79" s="120"/>
      <c r="E79" s="102"/>
      <c r="F79" s="16" t="s">
        <v>13</v>
      </c>
      <c r="G79" s="26">
        <f>H79+I79+J79+K79+L79</f>
        <v>300000</v>
      </c>
      <c r="H79" s="26">
        <v>60000</v>
      </c>
      <c r="I79" s="26">
        <v>60000</v>
      </c>
      <c r="J79" s="26">
        <v>60000</v>
      </c>
      <c r="K79" s="26">
        <v>60000</v>
      </c>
      <c r="L79" s="26">
        <v>60000</v>
      </c>
      <c r="M79" s="82"/>
    </row>
    <row r="80" spans="1:13" ht="21.75" customHeight="1">
      <c r="A80" s="80" t="s">
        <v>186</v>
      </c>
      <c r="B80" s="99"/>
      <c r="C80" s="102"/>
      <c r="D80" s="120"/>
      <c r="E80" s="102"/>
      <c r="F80" s="16" t="s">
        <v>14</v>
      </c>
      <c r="G80" s="26">
        <f>H80+I80+J80+K80+L80</f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82"/>
    </row>
    <row r="81" spans="1:13" ht="21" customHeight="1">
      <c r="A81" s="78"/>
      <c r="B81" s="100"/>
      <c r="C81" s="102"/>
      <c r="D81" s="121"/>
      <c r="E81" s="106"/>
      <c r="F81" s="16" t="s">
        <v>15</v>
      </c>
      <c r="G81" s="26">
        <f>H81+I81+J81+K81+L81</f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122"/>
    </row>
    <row r="82" spans="1:13" ht="21.75" customHeight="1">
      <c r="A82" s="182" t="s">
        <v>207</v>
      </c>
      <c r="B82" s="98" t="s">
        <v>195</v>
      </c>
      <c r="C82" s="101" t="s">
        <v>125</v>
      </c>
      <c r="D82" s="101" t="s">
        <v>143</v>
      </c>
      <c r="E82" s="101" t="s">
        <v>106</v>
      </c>
      <c r="F82" s="16" t="s">
        <v>12</v>
      </c>
      <c r="G82" s="26">
        <f aca="true" t="shared" si="21" ref="G82:L82">G83+G84+G85</f>
        <v>377847.68</v>
      </c>
      <c r="H82" s="26">
        <f t="shared" si="21"/>
        <v>0</v>
      </c>
      <c r="I82" s="26">
        <f t="shared" si="21"/>
        <v>0</v>
      </c>
      <c r="J82" s="26">
        <f t="shared" si="21"/>
        <v>165443.68</v>
      </c>
      <c r="K82" s="26">
        <f t="shared" si="21"/>
        <v>106202</v>
      </c>
      <c r="L82" s="26">
        <f t="shared" si="21"/>
        <v>106202</v>
      </c>
      <c r="M82" s="81" t="s">
        <v>204</v>
      </c>
    </row>
    <row r="83" spans="1:13" ht="21.75" customHeight="1">
      <c r="A83" s="183"/>
      <c r="B83" s="99"/>
      <c r="C83" s="102"/>
      <c r="D83" s="102"/>
      <c r="E83" s="102"/>
      <c r="F83" s="16" t="s">
        <v>13</v>
      </c>
      <c r="G83" s="26">
        <f>H83+I83+J83+K83+L83</f>
        <v>158400</v>
      </c>
      <c r="H83" s="26">
        <v>0</v>
      </c>
      <c r="I83" s="26">
        <v>0</v>
      </c>
      <c r="J83" s="26">
        <f>176000-123200</f>
        <v>52800</v>
      </c>
      <c r="K83" s="26">
        <f>106202-53402</f>
        <v>52800</v>
      </c>
      <c r="L83" s="26">
        <f>106202-53402</f>
        <v>52800</v>
      </c>
      <c r="M83" s="82"/>
    </row>
    <row r="84" spans="1:13" ht="21.75" customHeight="1">
      <c r="A84" s="183"/>
      <c r="B84" s="99"/>
      <c r="C84" s="102"/>
      <c r="D84" s="102"/>
      <c r="E84" s="102"/>
      <c r="F84" s="16" t="s">
        <v>14</v>
      </c>
      <c r="G84" s="26">
        <f>H84+I84+J84+K84+L84</f>
        <v>219447.68</v>
      </c>
      <c r="H84" s="26">
        <v>0</v>
      </c>
      <c r="I84" s="26">
        <v>0</v>
      </c>
      <c r="J84" s="26">
        <f>'[8]остатки средств в ФК_1'!$AH$84</f>
        <v>112643.68</v>
      </c>
      <c r="K84" s="26">
        <v>53402</v>
      </c>
      <c r="L84" s="26">
        <v>53402</v>
      </c>
      <c r="M84" s="82"/>
    </row>
    <row r="85" spans="1:13" ht="21.75" customHeight="1">
      <c r="A85" s="184"/>
      <c r="B85" s="100"/>
      <c r="C85" s="106"/>
      <c r="D85" s="106"/>
      <c r="E85" s="106"/>
      <c r="F85" s="16" t="s">
        <v>15</v>
      </c>
      <c r="G85" s="26">
        <f>H85+I85+J85+K85+L85</f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82"/>
    </row>
    <row r="86" spans="1:13" ht="21.75" customHeight="1">
      <c r="A86" s="145" t="s">
        <v>40</v>
      </c>
      <c r="B86" s="148" t="s">
        <v>41</v>
      </c>
      <c r="C86" s="151" t="s">
        <v>125</v>
      </c>
      <c r="D86" s="154" t="s">
        <v>135</v>
      </c>
      <c r="E86" s="151" t="s">
        <v>106</v>
      </c>
      <c r="F86" s="42" t="s">
        <v>12</v>
      </c>
      <c r="G86" s="43">
        <f aca="true" t="shared" si="22" ref="G86:L86">G87+G88+G89</f>
        <v>4765804</v>
      </c>
      <c r="H86" s="43">
        <f>H87+H88+H89</f>
        <v>943488</v>
      </c>
      <c r="I86" s="43">
        <f>I87+I88+I89</f>
        <v>953488</v>
      </c>
      <c r="J86" s="43">
        <f>J87+J88+J89</f>
        <v>956276</v>
      </c>
      <c r="K86" s="43">
        <f t="shared" si="22"/>
        <v>956276</v>
      </c>
      <c r="L86" s="43">
        <f t="shared" si="22"/>
        <v>956276</v>
      </c>
      <c r="M86" s="81" t="s">
        <v>150</v>
      </c>
    </row>
    <row r="87" spans="1:13" ht="21.75" customHeight="1">
      <c r="A87" s="146"/>
      <c r="B87" s="149"/>
      <c r="C87" s="152"/>
      <c r="D87" s="155"/>
      <c r="E87" s="152"/>
      <c r="F87" s="42" t="s">
        <v>13</v>
      </c>
      <c r="G87" s="43">
        <f>H87+I87+J87+K87+L87</f>
        <v>490000</v>
      </c>
      <c r="H87" s="43">
        <f aca="true" t="shared" si="23" ref="H87:L89">H91+H95</f>
        <v>90000</v>
      </c>
      <c r="I87" s="43">
        <f t="shared" si="23"/>
        <v>100000</v>
      </c>
      <c r="J87" s="43">
        <f t="shared" si="23"/>
        <v>100000</v>
      </c>
      <c r="K87" s="43">
        <f t="shared" si="23"/>
        <v>100000</v>
      </c>
      <c r="L87" s="43">
        <f t="shared" si="23"/>
        <v>100000</v>
      </c>
      <c r="M87" s="82"/>
    </row>
    <row r="88" spans="1:13" ht="21.75" customHeight="1">
      <c r="A88" s="146"/>
      <c r="B88" s="149"/>
      <c r="C88" s="152"/>
      <c r="D88" s="155"/>
      <c r="E88" s="152"/>
      <c r="F88" s="42" t="s">
        <v>14</v>
      </c>
      <c r="G88" s="43">
        <f>H88+I88+J88+K88+L88</f>
        <v>4275804</v>
      </c>
      <c r="H88" s="43">
        <f t="shared" si="23"/>
        <v>853488</v>
      </c>
      <c r="I88" s="43">
        <f t="shared" si="23"/>
        <v>853488</v>
      </c>
      <c r="J88" s="43">
        <f t="shared" si="23"/>
        <v>856276</v>
      </c>
      <c r="K88" s="43">
        <f t="shared" si="23"/>
        <v>856276</v>
      </c>
      <c r="L88" s="43">
        <f t="shared" si="23"/>
        <v>856276</v>
      </c>
      <c r="M88" s="82"/>
    </row>
    <row r="89" spans="1:13" ht="21.75" customHeight="1">
      <c r="A89" s="147"/>
      <c r="B89" s="150"/>
      <c r="C89" s="153"/>
      <c r="D89" s="156"/>
      <c r="E89" s="153"/>
      <c r="F89" s="42" t="s">
        <v>15</v>
      </c>
      <c r="G89" s="43">
        <f>H89+I89+J89+K89+L89</f>
        <v>0</v>
      </c>
      <c r="H89" s="43">
        <f t="shared" si="23"/>
        <v>0</v>
      </c>
      <c r="I89" s="43">
        <f t="shared" si="23"/>
        <v>0</v>
      </c>
      <c r="J89" s="43">
        <f t="shared" si="23"/>
        <v>0</v>
      </c>
      <c r="K89" s="43">
        <f t="shared" si="23"/>
        <v>0</v>
      </c>
      <c r="L89" s="43">
        <f t="shared" si="23"/>
        <v>0</v>
      </c>
      <c r="M89" s="82"/>
    </row>
    <row r="90" spans="1:13" ht="21.75" customHeight="1">
      <c r="A90" s="10"/>
      <c r="B90" s="98" t="s">
        <v>86</v>
      </c>
      <c r="C90" s="101" t="s">
        <v>125</v>
      </c>
      <c r="D90" s="103" t="s">
        <v>135</v>
      </c>
      <c r="E90" s="101" t="s">
        <v>106</v>
      </c>
      <c r="F90" s="16" t="s">
        <v>12</v>
      </c>
      <c r="G90" s="26">
        <f aca="true" t="shared" si="24" ref="G90:L90">G91+G92+G93</f>
        <v>490000</v>
      </c>
      <c r="H90" s="26">
        <f t="shared" si="24"/>
        <v>90000</v>
      </c>
      <c r="I90" s="26">
        <f t="shared" si="24"/>
        <v>100000</v>
      </c>
      <c r="J90" s="26">
        <f t="shared" si="24"/>
        <v>100000</v>
      </c>
      <c r="K90" s="26">
        <f t="shared" si="24"/>
        <v>100000</v>
      </c>
      <c r="L90" s="26">
        <f t="shared" si="24"/>
        <v>100000</v>
      </c>
      <c r="M90" s="82"/>
    </row>
    <row r="91" spans="1:13" ht="21.75" customHeight="1">
      <c r="A91" s="10"/>
      <c r="B91" s="99"/>
      <c r="C91" s="102"/>
      <c r="D91" s="104"/>
      <c r="E91" s="102"/>
      <c r="F91" s="16" t="s">
        <v>13</v>
      </c>
      <c r="G91" s="26">
        <f>H91+I91+J91+K91+L91</f>
        <v>490000</v>
      </c>
      <c r="H91" s="26">
        <v>90000</v>
      </c>
      <c r="I91" s="26">
        <f>100000</f>
        <v>100000</v>
      </c>
      <c r="J91" s="26">
        <v>100000</v>
      </c>
      <c r="K91" s="26">
        <v>100000</v>
      </c>
      <c r="L91" s="26">
        <v>100000</v>
      </c>
      <c r="M91" s="82"/>
    </row>
    <row r="92" spans="1:13" ht="21.75" customHeight="1">
      <c r="A92" s="80" t="s">
        <v>93</v>
      </c>
      <c r="B92" s="99"/>
      <c r="C92" s="102"/>
      <c r="D92" s="104"/>
      <c r="E92" s="102"/>
      <c r="F92" s="16" t="s">
        <v>14</v>
      </c>
      <c r="G92" s="26">
        <f>H92+I92+J92+K92+L92</f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82"/>
    </row>
    <row r="93" spans="1:13" ht="21.75" customHeight="1">
      <c r="A93" s="10"/>
      <c r="B93" s="100"/>
      <c r="C93" s="102"/>
      <c r="D93" s="105"/>
      <c r="E93" s="106"/>
      <c r="F93" s="16" t="s">
        <v>15</v>
      </c>
      <c r="G93" s="26">
        <f>H93+I93+J93+K93+L93</f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82"/>
    </row>
    <row r="94" spans="1:13" ht="21.75" customHeight="1">
      <c r="A94" s="116" t="s">
        <v>92</v>
      </c>
      <c r="B94" s="98" t="s">
        <v>42</v>
      </c>
      <c r="C94" s="101" t="s">
        <v>125</v>
      </c>
      <c r="D94" s="103" t="s">
        <v>123</v>
      </c>
      <c r="E94" s="101" t="s">
        <v>106</v>
      </c>
      <c r="F94" s="16" t="s">
        <v>12</v>
      </c>
      <c r="G94" s="26">
        <f aca="true" t="shared" si="25" ref="G94:L94">G95+G96+G97</f>
        <v>4275804</v>
      </c>
      <c r="H94" s="26">
        <f t="shared" si="25"/>
        <v>853488</v>
      </c>
      <c r="I94" s="26">
        <f t="shared" si="25"/>
        <v>853488</v>
      </c>
      <c r="J94" s="26">
        <f t="shared" si="25"/>
        <v>856276</v>
      </c>
      <c r="K94" s="26">
        <f t="shared" si="25"/>
        <v>856276</v>
      </c>
      <c r="L94" s="26">
        <f t="shared" si="25"/>
        <v>856276</v>
      </c>
      <c r="M94" s="82"/>
    </row>
    <row r="95" spans="1:13" ht="21.75" customHeight="1">
      <c r="A95" s="117"/>
      <c r="B95" s="99"/>
      <c r="C95" s="102"/>
      <c r="D95" s="104"/>
      <c r="E95" s="102"/>
      <c r="F95" s="16" t="s">
        <v>13</v>
      </c>
      <c r="G95" s="26">
        <f>H95+I95+J95+K95+L95</f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82"/>
    </row>
    <row r="96" spans="1:14" ht="21.75" customHeight="1">
      <c r="A96" s="117"/>
      <c r="B96" s="99"/>
      <c r="C96" s="102"/>
      <c r="D96" s="104"/>
      <c r="E96" s="102"/>
      <c r="F96" s="16" t="s">
        <v>14</v>
      </c>
      <c r="G96" s="26">
        <f>H96+I96+J96+K96+L96</f>
        <v>4275804</v>
      </c>
      <c r="H96" s="26">
        <f>127900+293084+432504</f>
        <v>853488</v>
      </c>
      <c r="I96" s="26">
        <f>127900+293084+432504</f>
        <v>853488</v>
      </c>
      <c r="J96" s="26">
        <f>127214+301194+427868</f>
        <v>856276</v>
      </c>
      <c r="K96" s="26">
        <f>127214+301194+427868</f>
        <v>856276</v>
      </c>
      <c r="L96" s="26">
        <f>127214+301194+427868</f>
        <v>856276</v>
      </c>
      <c r="M96" s="82"/>
      <c r="N96" s="11"/>
    </row>
    <row r="97" spans="1:13" ht="21.75" customHeight="1">
      <c r="A97" s="118"/>
      <c r="B97" s="100"/>
      <c r="C97" s="102"/>
      <c r="D97" s="105"/>
      <c r="E97" s="106"/>
      <c r="F97" s="16" t="s">
        <v>15</v>
      </c>
      <c r="G97" s="26">
        <f>H97+I97+J97+K97+L97</f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122"/>
    </row>
    <row r="98" spans="1:13" ht="21.75" customHeight="1">
      <c r="A98" s="145" t="s">
        <v>43</v>
      </c>
      <c r="B98" s="148" t="s">
        <v>44</v>
      </c>
      <c r="C98" s="151" t="s">
        <v>125</v>
      </c>
      <c r="D98" s="154" t="s">
        <v>136</v>
      </c>
      <c r="E98" s="151" t="s">
        <v>106</v>
      </c>
      <c r="F98" s="42" t="s">
        <v>12</v>
      </c>
      <c r="G98" s="43">
        <f aca="true" t="shared" si="26" ref="G98:L98">G99+G100+G101</f>
        <v>480033146.95000005</v>
      </c>
      <c r="H98" s="43">
        <f>H99+H100+H101</f>
        <v>84695056.78</v>
      </c>
      <c r="I98" s="43">
        <f>I99+I100+I101</f>
        <v>96970505.43</v>
      </c>
      <c r="J98" s="43">
        <f>J99+J100+J101</f>
        <v>98756868.93</v>
      </c>
      <c r="K98" s="43">
        <f t="shared" si="26"/>
        <v>100195155.28</v>
      </c>
      <c r="L98" s="43">
        <f t="shared" si="26"/>
        <v>99415560.53</v>
      </c>
      <c r="M98" s="157" t="s">
        <v>162</v>
      </c>
    </row>
    <row r="99" spans="1:13" ht="21.75" customHeight="1">
      <c r="A99" s="146"/>
      <c r="B99" s="149"/>
      <c r="C99" s="152"/>
      <c r="D99" s="155"/>
      <c r="E99" s="152"/>
      <c r="F99" s="42" t="s">
        <v>13</v>
      </c>
      <c r="G99" s="43">
        <f>H99+I99+J99+K99+L99</f>
        <v>95267743.66</v>
      </c>
      <c r="H99" s="43">
        <f aca="true" t="shared" si="27" ref="H99:L101">H103+H107+H119+H111+H115</f>
        <v>19269008.78</v>
      </c>
      <c r="I99" s="43">
        <f t="shared" si="27"/>
        <v>20033854.14</v>
      </c>
      <c r="J99" s="43">
        <f>J103+J107+J119+J111+J115</f>
        <v>20898527.93</v>
      </c>
      <c r="K99" s="43">
        <f t="shared" si="27"/>
        <v>19680921.28</v>
      </c>
      <c r="L99" s="43">
        <f t="shared" si="27"/>
        <v>15385431.53</v>
      </c>
      <c r="M99" s="158"/>
    </row>
    <row r="100" spans="1:13" ht="21.75" customHeight="1">
      <c r="A100" s="146"/>
      <c r="B100" s="149"/>
      <c r="C100" s="152"/>
      <c r="D100" s="155"/>
      <c r="E100" s="152"/>
      <c r="F100" s="42" t="s">
        <v>14</v>
      </c>
      <c r="G100" s="43">
        <f>H100+I100+J100+K100+L100</f>
        <v>384765403.29</v>
      </c>
      <c r="H100" s="43">
        <f t="shared" si="27"/>
        <v>65426048</v>
      </c>
      <c r="I100" s="43">
        <f t="shared" si="27"/>
        <v>76936651.29</v>
      </c>
      <c r="J100" s="43">
        <f>J104+J108+J120+J112+J116</f>
        <v>77858341</v>
      </c>
      <c r="K100" s="43">
        <f t="shared" si="27"/>
        <v>80514234</v>
      </c>
      <c r="L100" s="43">
        <f t="shared" si="27"/>
        <v>84030129</v>
      </c>
      <c r="M100" s="158"/>
    </row>
    <row r="101" spans="1:13" ht="21.75" customHeight="1">
      <c r="A101" s="147"/>
      <c r="B101" s="150"/>
      <c r="C101" s="153"/>
      <c r="D101" s="156"/>
      <c r="E101" s="153"/>
      <c r="F101" s="42" t="s">
        <v>15</v>
      </c>
      <c r="G101" s="43">
        <f>H101+I101+J101+K101+L101</f>
        <v>0</v>
      </c>
      <c r="H101" s="43">
        <f t="shared" si="27"/>
        <v>0</v>
      </c>
      <c r="I101" s="43">
        <f t="shared" si="27"/>
        <v>0</v>
      </c>
      <c r="J101" s="43">
        <f t="shared" si="27"/>
        <v>0</v>
      </c>
      <c r="K101" s="43">
        <f t="shared" si="27"/>
        <v>0</v>
      </c>
      <c r="L101" s="43">
        <f t="shared" si="27"/>
        <v>0</v>
      </c>
      <c r="M101" s="158"/>
    </row>
    <row r="102" spans="1:13" ht="21.75" customHeight="1">
      <c r="A102" s="116" t="s">
        <v>45</v>
      </c>
      <c r="B102" s="98" t="s">
        <v>82</v>
      </c>
      <c r="C102" s="101" t="s">
        <v>125</v>
      </c>
      <c r="D102" s="103" t="s">
        <v>135</v>
      </c>
      <c r="E102" s="101" t="s">
        <v>106</v>
      </c>
      <c r="F102" s="16" t="s">
        <v>12</v>
      </c>
      <c r="G102" s="26">
        <f aca="true" t="shared" si="28" ref="G102:L102">G103+G104+G105</f>
        <v>397209861.13</v>
      </c>
      <c r="H102" s="26">
        <f t="shared" si="28"/>
        <v>75416376.46000001</v>
      </c>
      <c r="I102" s="26">
        <f t="shared" si="28"/>
        <v>78327455.74</v>
      </c>
      <c r="J102" s="26">
        <f t="shared" si="28"/>
        <v>81078227.93</v>
      </c>
      <c r="K102" s="26">
        <f t="shared" si="28"/>
        <v>81989339</v>
      </c>
      <c r="L102" s="26">
        <f t="shared" si="28"/>
        <v>80398462</v>
      </c>
      <c r="M102" s="158"/>
    </row>
    <row r="103" spans="1:15" ht="21.75" customHeight="1">
      <c r="A103" s="117"/>
      <c r="B103" s="99"/>
      <c r="C103" s="102"/>
      <c r="D103" s="104"/>
      <c r="E103" s="102"/>
      <c r="F103" s="16" t="s">
        <v>13</v>
      </c>
      <c r="G103" s="26">
        <f>H103+I103+J103+K103+L103</f>
        <v>77807245.9</v>
      </c>
      <c r="H103" s="26">
        <v>17880557.46</v>
      </c>
      <c r="I103" s="26">
        <f>15484283.05-117000+1049417.39</f>
        <v>16416700.440000001</v>
      </c>
      <c r="J103" s="26">
        <v>17127247</v>
      </c>
      <c r="K103" s="26">
        <v>15367283</v>
      </c>
      <c r="L103" s="26">
        <v>11015458</v>
      </c>
      <c r="M103" s="158"/>
      <c r="N103" s="12"/>
      <c r="O103" s="7"/>
    </row>
    <row r="104" spans="1:13" ht="21.75" customHeight="1">
      <c r="A104" s="117"/>
      <c r="B104" s="99"/>
      <c r="C104" s="102"/>
      <c r="D104" s="104"/>
      <c r="E104" s="102"/>
      <c r="F104" s="16" t="s">
        <v>14</v>
      </c>
      <c r="G104" s="26">
        <f>H104+I104+J104+K104+L104</f>
        <v>319402615.23</v>
      </c>
      <c r="H104" s="26">
        <f>57968323-432504</f>
        <v>57535819</v>
      </c>
      <c r="I104" s="26">
        <f>62343259.3-432504</f>
        <v>61910755.3</v>
      </c>
      <c r="J104" s="26">
        <f>64378848.93-427868</f>
        <v>63950980.93</v>
      </c>
      <c r="K104" s="26">
        <f>67049924-427868</f>
        <v>66622056</v>
      </c>
      <c r="L104" s="26">
        <f>69810872-427868</f>
        <v>69383004</v>
      </c>
      <c r="M104" s="158"/>
    </row>
    <row r="105" spans="1:13" ht="21.75" customHeight="1">
      <c r="A105" s="118"/>
      <c r="B105" s="100"/>
      <c r="C105" s="102"/>
      <c r="D105" s="105"/>
      <c r="E105" s="106"/>
      <c r="F105" s="16" t="s">
        <v>15</v>
      </c>
      <c r="G105" s="26">
        <f>H105+I105+J105+K105+L105</f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158"/>
    </row>
    <row r="106" spans="1:13" ht="21.75" customHeight="1">
      <c r="A106" s="116" t="s">
        <v>46</v>
      </c>
      <c r="B106" s="142" t="s">
        <v>21</v>
      </c>
      <c r="C106" s="101" t="s">
        <v>125</v>
      </c>
      <c r="D106" s="119" t="s">
        <v>132</v>
      </c>
      <c r="E106" s="101" t="s">
        <v>106</v>
      </c>
      <c r="F106" s="16" t="s">
        <v>12</v>
      </c>
      <c r="G106" s="26">
        <f aca="true" t="shared" si="29" ref="G106:L106">G107+G108+G109</f>
        <v>374346.13</v>
      </c>
      <c r="H106" s="26">
        <f t="shared" si="29"/>
        <v>48537.82</v>
      </c>
      <c r="I106" s="26">
        <f t="shared" si="29"/>
        <v>103165.31</v>
      </c>
      <c r="J106" s="26">
        <f t="shared" si="29"/>
        <v>125567</v>
      </c>
      <c r="K106" s="26">
        <f t="shared" si="29"/>
        <v>48538</v>
      </c>
      <c r="L106" s="26">
        <f t="shared" si="29"/>
        <v>48538</v>
      </c>
      <c r="M106" s="158"/>
    </row>
    <row r="107" spans="1:13" ht="21.75" customHeight="1">
      <c r="A107" s="117"/>
      <c r="B107" s="143"/>
      <c r="C107" s="102"/>
      <c r="D107" s="120"/>
      <c r="E107" s="102"/>
      <c r="F107" s="16" t="s">
        <v>13</v>
      </c>
      <c r="G107" s="26">
        <f>H107+I107+J107+K107+L107</f>
        <v>374346.13</v>
      </c>
      <c r="H107" s="26">
        <f>48538-0.18</f>
        <v>48537.82</v>
      </c>
      <c r="I107" s="26">
        <f>94165.31+9000</f>
        <v>103165.31</v>
      </c>
      <c r="J107" s="26">
        <f>125426+141</f>
        <v>125567</v>
      </c>
      <c r="K107" s="26">
        <v>48538</v>
      </c>
      <c r="L107" s="26">
        <v>48538</v>
      </c>
      <c r="M107" s="158"/>
    </row>
    <row r="108" spans="1:13" ht="21.75" customHeight="1">
      <c r="A108" s="117"/>
      <c r="B108" s="143"/>
      <c r="C108" s="102"/>
      <c r="D108" s="120"/>
      <c r="E108" s="102"/>
      <c r="F108" s="16" t="s">
        <v>14</v>
      </c>
      <c r="G108" s="26">
        <f>H108+I108+J108+K108+L108</f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158"/>
    </row>
    <row r="109" spans="1:13" ht="21.75" customHeight="1">
      <c r="A109" s="118"/>
      <c r="B109" s="144"/>
      <c r="C109" s="102"/>
      <c r="D109" s="121"/>
      <c r="E109" s="106"/>
      <c r="F109" s="16" t="s">
        <v>15</v>
      </c>
      <c r="G109" s="26">
        <f>H109+I109+J109+K109+L109</f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158"/>
    </row>
    <row r="110" spans="1:13" ht="21.75" customHeight="1">
      <c r="A110" s="78"/>
      <c r="B110" s="142" t="s">
        <v>96</v>
      </c>
      <c r="C110" s="101" t="s">
        <v>125</v>
      </c>
      <c r="D110" s="119" t="s">
        <v>133</v>
      </c>
      <c r="E110" s="101" t="s">
        <v>106</v>
      </c>
      <c r="F110" s="16" t="s">
        <v>12</v>
      </c>
      <c r="G110" s="26">
        <f aca="true" t="shared" si="30" ref="G110:L110">G111+G112+G113</f>
        <v>3887641.65</v>
      </c>
      <c r="H110" s="26">
        <f t="shared" si="30"/>
        <v>393480</v>
      </c>
      <c r="I110" s="26">
        <f t="shared" si="30"/>
        <v>1094161.65</v>
      </c>
      <c r="J110" s="26">
        <f t="shared" si="30"/>
        <v>400000</v>
      </c>
      <c r="K110" s="26">
        <f t="shared" si="30"/>
        <v>1000000</v>
      </c>
      <c r="L110" s="26">
        <f t="shared" si="30"/>
        <v>1000000</v>
      </c>
      <c r="M110" s="158"/>
    </row>
    <row r="111" spans="1:13" ht="21.75" customHeight="1">
      <c r="A111" s="78"/>
      <c r="B111" s="143"/>
      <c r="C111" s="102"/>
      <c r="D111" s="120"/>
      <c r="E111" s="102"/>
      <c r="F111" s="16" t="s">
        <v>13</v>
      </c>
      <c r="G111" s="26">
        <f>H111+I111+J111+K111+L111</f>
        <v>3887641.65</v>
      </c>
      <c r="H111" s="26">
        <v>393480</v>
      </c>
      <c r="I111" s="26">
        <f>20000+1074161.65</f>
        <v>1094161.65</v>
      </c>
      <c r="J111" s="26">
        <f>500000-100000</f>
        <v>400000</v>
      </c>
      <c r="K111" s="26">
        <v>1000000</v>
      </c>
      <c r="L111" s="26">
        <v>1000000</v>
      </c>
      <c r="M111" s="158"/>
    </row>
    <row r="112" spans="1:13" ht="21.75" customHeight="1">
      <c r="A112" s="80" t="s">
        <v>95</v>
      </c>
      <c r="B112" s="143"/>
      <c r="C112" s="102"/>
      <c r="D112" s="120"/>
      <c r="E112" s="102"/>
      <c r="F112" s="16" t="s">
        <v>14</v>
      </c>
      <c r="G112" s="26">
        <f>H112+I112+J112+K112+L112</f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158"/>
    </row>
    <row r="113" spans="1:13" ht="21.75" customHeight="1">
      <c r="A113" s="78"/>
      <c r="B113" s="144"/>
      <c r="C113" s="102"/>
      <c r="D113" s="121"/>
      <c r="E113" s="106"/>
      <c r="F113" s="16" t="s">
        <v>15</v>
      </c>
      <c r="G113" s="26">
        <f>H113+I113+J113+K113+L113</f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158"/>
    </row>
    <row r="114" spans="1:13" ht="21.75" customHeight="1">
      <c r="A114" s="116" t="s">
        <v>94</v>
      </c>
      <c r="B114" s="142" t="s">
        <v>23</v>
      </c>
      <c r="C114" s="101" t="s">
        <v>125</v>
      </c>
      <c r="D114" s="119" t="s">
        <v>134</v>
      </c>
      <c r="E114" s="101" t="s">
        <v>106</v>
      </c>
      <c r="F114" s="16" t="s">
        <v>12</v>
      </c>
      <c r="G114" s="26">
        <f aca="true" t="shared" si="31" ref="G114:L114">G115+G116+G117</f>
        <v>16983877.29</v>
      </c>
      <c r="H114" s="26">
        <f t="shared" si="31"/>
        <v>3915780</v>
      </c>
      <c r="I114" s="26">
        <f t="shared" si="31"/>
        <v>3809664.29</v>
      </c>
      <c r="J114" s="26">
        <f t="shared" si="31"/>
        <v>2987794</v>
      </c>
      <c r="K114" s="26">
        <f t="shared" si="31"/>
        <v>2838978</v>
      </c>
      <c r="L114" s="26">
        <f t="shared" si="31"/>
        <v>3431661</v>
      </c>
      <c r="M114" s="158"/>
    </row>
    <row r="115" spans="1:13" ht="21.75" customHeight="1">
      <c r="A115" s="117"/>
      <c r="B115" s="143"/>
      <c r="C115" s="102"/>
      <c r="D115" s="120"/>
      <c r="E115" s="102"/>
      <c r="F115" s="16" t="s">
        <v>13</v>
      </c>
      <c r="G115" s="26">
        <f>H115+I115+J115+K115+L115</f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158"/>
    </row>
    <row r="116" spans="1:13" ht="21.75" customHeight="1">
      <c r="A116" s="117"/>
      <c r="B116" s="143"/>
      <c r="C116" s="102"/>
      <c r="D116" s="120"/>
      <c r="E116" s="102"/>
      <c r="F116" s="16" t="s">
        <v>14</v>
      </c>
      <c r="G116" s="26">
        <f>H116+I116+J116+K116+L116</f>
        <v>16983877.29</v>
      </c>
      <c r="H116" s="26">
        <f>1513280+2402500</f>
        <v>3915780</v>
      </c>
      <c r="I116" s="26">
        <f>1178210+2631454.29</f>
        <v>3809664.29</v>
      </c>
      <c r="J116" s="26">
        <f>1154809+1980000-147015</f>
        <v>2987794</v>
      </c>
      <c r="K116" s="26">
        <f>1195000+1643978</f>
        <v>2838978</v>
      </c>
      <c r="L116" s="26">
        <f>1341133+2090528</f>
        <v>3431661</v>
      </c>
      <c r="M116" s="158"/>
    </row>
    <row r="117" spans="1:13" ht="21.75" customHeight="1">
      <c r="A117" s="118"/>
      <c r="B117" s="144"/>
      <c r="C117" s="102"/>
      <c r="D117" s="121"/>
      <c r="E117" s="106"/>
      <c r="F117" s="16" t="s">
        <v>15</v>
      </c>
      <c r="G117" s="26">
        <f>H117+I117+J117+K117+L117</f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158"/>
    </row>
    <row r="118" spans="1:13" ht="21.75" customHeight="1">
      <c r="A118" s="116" t="s">
        <v>160</v>
      </c>
      <c r="B118" s="142" t="s">
        <v>159</v>
      </c>
      <c r="C118" s="101" t="s">
        <v>125</v>
      </c>
      <c r="D118" s="103" t="s">
        <v>137</v>
      </c>
      <c r="E118" s="101" t="s">
        <v>106</v>
      </c>
      <c r="F118" s="16" t="s">
        <v>12</v>
      </c>
      <c r="G118" s="26">
        <f aca="true" t="shared" si="32" ref="G118:L118">G119+G120+G121</f>
        <v>61577420.74999999</v>
      </c>
      <c r="H118" s="26">
        <f t="shared" si="32"/>
        <v>4920882.5</v>
      </c>
      <c r="I118" s="26">
        <f t="shared" si="32"/>
        <v>13636058.44</v>
      </c>
      <c r="J118" s="26">
        <f t="shared" si="32"/>
        <v>14165280</v>
      </c>
      <c r="K118" s="26">
        <f t="shared" si="32"/>
        <v>14318300.28</v>
      </c>
      <c r="L118" s="26">
        <f t="shared" si="32"/>
        <v>14536899.53</v>
      </c>
      <c r="M118" s="158"/>
    </row>
    <row r="119" spans="1:13" ht="21.75" customHeight="1">
      <c r="A119" s="117"/>
      <c r="B119" s="143"/>
      <c r="C119" s="102"/>
      <c r="D119" s="104"/>
      <c r="E119" s="102"/>
      <c r="F119" s="16" t="s">
        <v>13</v>
      </c>
      <c r="G119" s="26">
        <f>H119+I119+J119+K119+L119</f>
        <v>13198509.979999999</v>
      </c>
      <c r="H119" s="26">
        <f>845990.48+96482.96-233.44+4193.5</f>
        <v>946433.5</v>
      </c>
      <c r="I119" s="26">
        <f>2724868.3-76260.5*3-76260.06</f>
        <v>2419826.7399999998</v>
      </c>
      <c r="J119" s="26">
        <v>3245713.93</v>
      </c>
      <c r="K119" s="26">
        <v>3265100.28</v>
      </c>
      <c r="L119" s="26">
        <v>3321435.53</v>
      </c>
      <c r="M119" s="158"/>
    </row>
    <row r="120" spans="1:13" ht="21.75" customHeight="1">
      <c r="A120" s="117"/>
      <c r="B120" s="143"/>
      <c r="C120" s="102"/>
      <c r="D120" s="104"/>
      <c r="E120" s="102"/>
      <c r="F120" s="16" t="s">
        <v>14</v>
      </c>
      <c r="G120" s="26">
        <f>H120+I120+J120+K120+L120</f>
        <v>48378910.769999996</v>
      </c>
      <c r="H120" s="26">
        <f>3768960+205489</f>
        <v>3974449</v>
      </c>
      <c r="I120" s="26">
        <v>11216231.7</v>
      </c>
      <c r="J120" s="26">
        <v>10919566.07</v>
      </c>
      <c r="K120" s="26">
        <v>11053200</v>
      </c>
      <c r="L120" s="26">
        <v>11215464</v>
      </c>
      <c r="M120" s="158"/>
    </row>
    <row r="121" spans="1:13" ht="21.75" customHeight="1">
      <c r="A121" s="118"/>
      <c r="B121" s="144"/>
      <c r="C121" s="102"/>
      <c r="D121" s="105"/>
      <c r="E121" s="106"/>
      <c r="F121" s="16" t="s">
        <v>15</v>
      </c>
      <c r="G121" s="26">
        <f>H121+I121+J121+K121+L121</f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159"/>
    </row>
    <row r="122" spans="1:13" ht="21.75" customHeight="1">
      <c r="A122" s="145" t="s">
        <v>47</v>
      </c>
      <c r="B122" s="148" t="s">
        <v>48</v>
      </c>
      <c r="C122" s="151" t="s">
        <v>125</v>
      </c>
      <c r="D122" s="154" t="s">
        <v>137</v>
      </c>
      <c r="E122" s="151" t="s">
        <v>106</v>
      </c>
      <c r="F122" s="42" t="s">
        <v>12</v>
      </c>
      <c r="G122" s="43">
        <f aca="true" t="shared" si="33" ref="G122:L122">G123+G124+G125</f>
        <v>150525883.1</v>
      </c>
      <c r="H122" s="43">
        <f>H123+H124+H125</f>
        <v>23814087.8</v>
      </c>
      <c r="I122" s="43">
        <f>I123+I124+I125</f>
        <v>44379680.78999999</v>
      </c>
      <c r="J122" s="43">
        <f>J123+J124+J125</f>
        <v>26790322.8</v>
      </c>
      <c r="K122" s="43">
        <f t="shared" si="33"/>
        <v>27573157.4</v>
      </c>
      <c r="L122" s="43">
        <f t="shared" si="33"/>
        <v>27968634.310000002</v>
      </c>
      <c r="M122" s="81"/>
    </row>
    <row r="123" spans="1:13" ht="21.75" customHeight="1">
      <c r="A123" s="146"/>
      <c r="B123" s="149"/>
      <c r="C123" s="152"/>
      <c r="D123" s="155"/>
      <c r="E123" s="152"/>
      <c r="F123" s="42" t="s">
        <v>13</v>
      </c>
      <c r="G123" s="43">
        <f>H123+I123+J123+K123+L123</f>
        <v>30394541.93</v>
      </c>
      <c r="H123" s="43">
        <f>H127+H139+H143+H147+H151+H155+H131+H135+H159+H163+H167</f>
        <v>2476339.29</v>
      </c>
      <c r="I123" s="43">
        <f>I127+I139+I143+I147+I151+I155+I131+I135+I159+I163+I167</f>
        <v>3759702.31</v>
      </c>
      <c r="J123" s="43">
        <f>J127+J139+J143+J147+J151+J155+J131+J135+J159+J163+J167</f>
        <v>7567445.21</v>
      </c>
      <c r="K123" s="43">
        <f>K127+K139+K143+K147+K151+K155+K131+K135+K159+K163+K167</f>
        <v>8284372.33</v>
      </c>
      <c r="L123" s="43">
        <f>L127+L139+L143+L147+L151+L155+L131+L135+L159+L163+L167</f>
        <v>8306682.79</v>
      </c>
      <c r="M123" s="82"/>
    </row>
    <row r="124" spans="1:13" ht="21.75" customHeight="1">
      <c r="A124" s="146"/>
      <c r="B124" s="149"/>
      <c r="C124" s="152"/>
      <c r="D124" s="155"/>
      <c r="E124" s="152"/>
      <c r="F124" s="42" t="s">
        <v>14</v>
      </c>
      <c r="G124" s="43">
        <f>H124+I124+J124+K124+L124</f>
        <v>26972842.71</v>
      </c>
      <c r="H124" s="43">
        <f aca="true" t="shared" si="34" ref="H124:J125">H128+H140+H144+H148+H152+H156+H132+H136+H160+H164+H168</f>
        <v>11497014.51</v>
      </c>
      <c r="I124" s="43">
        <f t="shared" si="34"/>
        <v>5421714.0200000005</v>
      </c>
      <c r="J124" s="43">
        <f t="shared" si="34"/>
        <v>2965177.59</v>
      </c>
      <c r="K124" s="43">
        <f>K128+K140+K144+K148+K152+K156+K132+K136+K160+K164+K168</f>
        <v>3520985.0700000003</v>
      </c>
      <c r="L124" s="43">
        <f>L128+L140+L144+L148+L152+L156+L132+L136+L160+L164+L168</f>
        <v>3567951.52</v>
      </c>
      <c r="M124" s="82"/>
    </row>
    <row r="125" spans="1:13" ht="21.75" customHeight="1">
      <c r="A125" s="147"/>
      <c r="B125" s="150"/>
      <c r="C125" s="153"/>
      <c r="D125" s="156"/>
      <c r="E125" s="153"/>
      <c r="F125" s="42" t="s">
        <v>15</v>
      </c>
      <c r="G125" s="43">
        <f>H125+I125+J125+K125+L125</f>
        <v>93158498.46</v>
      </c>
      <c r="H125" s="43">
        <f t="shared" si="34"/>
        <v>9840734</v>
      </c>
      <c r="I125" s="43">
        <f t="shared" si="34"/>
        <v>35198264.45999999</v>
      </c>
      <c r="J125" s="43">
        <f t="shared" si="34"/>
        <v>16257700</v>
      </c>
      <c r="K125" s="43">
        <f>K129+K141+K145+K149+K153+K157+K133+K137+K161+K165+K169</f>
        <v>15767800</v>
      </c>
      <c r="L125" s="43">
        <f>L129+L141+L145+L149+L153+L157+L133+L137+L161+L165+L169</f>
        <v>16094000</v>
      </c>
      <c r="M125" s="82"/>
    </row>
    <row r="126" spans="1:13" ht="21.75" customHeight="1">
      <c r="A126" s="116" t="s">
        <v>49</v>
      </c>
      <c r="B126" s="98" t="s">
        <v>50</v>
      </c>
      <c r="C126" s="101" t="s">
        <v>125</v>
      </c>
      <c r="D126" s="101"/>
      <c r="E126" s="101" t="s">
        <v>106</v>
      </c>
      <c r="F126" s="16" t="s">
        <v>12</v>
      </c>
      <c r="G126" s="26">
        <f aca="true" t="shared" si="35" ref="G126:L126">G127+G128+G129</f>
        <v>58058</v>
      </c>
      <c r="H126" s="26">
        <f t="shared" si="35"/>
        <v>58058</v>
      </c>
      <c r="I126" s="26">
        <f t="shared" si="35"/>
        <v>0</v>
      </c>
      <c r="J126" s="26">
        <f t="shared" si="35"/>
        <v>0</v>
      </c>
      <c r="K126" s="26">
        <f t="shared" si="35"/>
        <v>0</v>
      </c>
      <c r="L126" s="26">
        <f t="shared" si="35"/>
        <v>0</v>
      </c>
      <c r="M126" s="82" t="s">
        <v>144</v>
      </c>
    </row>
    <row r="127" spans="1:13" ht="21.75" customHeight="1">
      <c r="A127" s="117"/>
      <c r="B127" s="99"/>
      <c r="C127" s="102"/>
      <c r="D127" s="102"/>
      <c r="E127" s="102"/>
      <c r="F127" s="16" t="s">
        <v>13</v>
      </c>
      <c r="G127" s="26">
        <f>H127+I127+J127+K127+L127</f>
        <v>58058</v>
      </c>
      <c r="H127" s="26">
        <v>58058</v>
      </c>
      <c r="I127" s="26">
        <v>0</v>
      </c>
      <c r="J127" s="26">
        <v>0</v>
      </c>
      <c r="K127" s="26">
        <v>0</v>
      </c>
      <c r="L127" s="26">
        <v>0</v>
      </c>
      <c r="M127" s="82"/>
    </row>
    <row r="128" spans="1:13" ht="21.75" customHeight="1">
      <c r="A128" s="117"/>
      <c r="B128" s="99"/>
      <c r="C128" s="102"/>
      <c r="D128" s="102"/>
      <c r="E128" s="102"/>
      <c r="F128" s="16" t="s">
        <v>14</v>
      </c>
      <c r="G128" s="26">
        <f>H128+I128+J128+K128+L128</f>
        <v>0</v>
      </c>
      <c r="H128" s="26">
        <v>0</v>
      </c>
      <c r="I128" s="26">
        <v>0</v>
      </c>
      <c r="J128" s="26">
        <v>0</v>
      </c>
      <c r="K128" s="26"/>
      <c r="L128" s="26">
        <v>0</v>
      </c>
      <c r="M128" s="82"/>
    </row>
    <row r="129" spans="1:13" ht="21.75" customHeight="1">
      <c r="A129" s="118"/>
      <c r="B129" s="100"/>
      <c r="C129" s="102"/>
      <c r="D129" s="106"/>
      <c r="E129" s="106"/>
      <c r="F129" s="16" t="s">
        <v>15</v>
      </c>
      <c r="G129" s="26">
        <f>H129+I129+J129+K129+L129</f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82"/>
    </row>
    <row r="130" spans="1:13" ht="21.75" customHeight="1">
      <c r="A130" s="116" t="s">
        <v>51</v>
      </c>
      <c r="B130" s="98" t="s">
        <v>116</v>
      </c>
      <c r="C130" s="101" t="s">
        <v>125</v>
      </c>
      <c r="D130" s="119" t="s">
        <v>129</v>
      </c>
      <c r="E130" s="101" t="s">
        <v>106</v>
      </c>
      <c r="F130" s="16" t="s">
        <v>12</v>
      </c>
      <c r="G130" s="26">
        <f aca="true" t="shared" si="36" ref="G130:L130">G131+G132+G133</f>
        <v>14525521</v>
      </c>
      <c r="H130" s="26">
        <f t="shared" si="36"/>
        <v>12027171</v>
      </c>
      <c r="I130" s="26">
        <f t="shared" si="36"/>
        <v>2498350</v>
      </c>
      <c r="J130" s="26">
        <f t="shared" si="36"/>
        <v>0</v>
      </c>
      <c r="K130" s="26">
        <f t="shared" si="36"/>
        <v>0</v>
      </c>
      <c r="L130" s="26">
        <f t="shared" si="36"/>
        <v>0</v>
      </c>
      <c r="M130" s="82"/>
    </row>
    <row r="131" spans="1:13" ht="21.75" customHeight="1">
      <c r="A131" s="117"/>
      <c r="B131" s="99"/>
      <c r="C131" s="102"/>
      <c r="D131" s="120"/>
      <c r="E131" s="102"/>
      <c r="F131" s="16" t="s">
        <v>13</v>
      </c>
      <c r="G131" s="26">
        <f>H131+I131+J131+K131+L131</f>
        <v>977901</v>
      </c>
      <c r="H131" s="26">
        <v>900000</v>
      </c>
      <c r="I131" s="26">
        <v>77901</v>
      </c>
      <c r="J131" s="26">
        <v>0</v>
      </c>
      <c r="K131" s="26">
        <v>0</v>
      </c>
      <c r="L131" s="26">
        <v>0</v>
      </c>
      <c r="M131" s="82"/>
    </row>
    <row r="132" spans="1:13" ht="21.75" customHeight="1">
      <c r="A132" s="117"/>
      <c r="B132" s="99"/>
      <c r="C132" s="102"/>
      <c r="D132" s="120"/>
      <c r="E132" s="102"/>
      <c r="F132" s="16" t="s">
        <v>14</v>
      </c>
      <c r="G132" s="26">
        <f>H132+I132+J132+K132+L132</f>
        <v>9349858.94</v>
      </c>
      <c r="H132" s="26">
        <v>7685537</v>
      </c>
      <c r="I132" s="26">
        <f>464321.94+1200000</f>
        <v>1664321.94</v>
      </c>
      <c r="J132" s="26">
        <v>0</v>
      </c>
      <c r="K132" s="26">
        <v>0</v>
      </c>
      <c r="L132" s="26">
        <v>0</v>
      </c>
      <c r="M132" s="82"/>
    </row>
    <row r="133" spans="1:13" ht="21.75" customHeight="1">
      <c r="A133" s="118"/>
      <c r="B133" s="100"/>
      <c r="C133" s="102"/>
      <c r="D133" s="121"/>
      <c r="E133" s="106"/>
      <c r="F133" s="16" t="s">
        <v>15</v>
      </c>
      <c r="G133" s="26">
        <f>H133+I133+J133+K133+L133</f>
        <v>4197761.0600000005</v>
      </c>
      <c r="H133" s="26">
        <v>3441634</v>
      </c>
      <c r="I133" s="26">
        <v>756127.06</v>
      </c>
      <c r="J133" s="26">
        <v>0</v>
      </c>
      <c r="K133" s="26">
        <v>0</v>
      </c>
      <c r="L133" s="26">
        <v>0</v>
      </c>
      <c r="M133" s="82"/>
    </row>
    <row r="134" spans="1:25" s="35" customFormat="1" ht="21.75" customHeight="1">
      <c r="A134" s="116" t="s">
        <v>52</v>
      </c>
      <c r="B134" s="98" t="s">
        <v>169</v>
      </c>
      <c r="C134" s="101" t="s">
        <v>125</v>
      </c>
      <c r="D134" s="135" t="s">
        <v>170</v>
      </c>
      <c r="E134" s="101" t="s">
        <v>106</v>
      </c>
      <c r="F134" s="16" t="s">
        <v>12</v>
      </c>
      <c r="G134" s="26">
        <f aca="true" t="shared" si="37" ref="G134:L134">G135+G136+G137</f>
        <v>21151290</v>
      </c>
      <c r="H134" s="26">
        <f t="shared" si="37"/>
        <v>0</v>
      </c>
      <c r="I134" s="26">
        <f t="shared" si="37"/>
        <v>21151290</v>
      </c>
      <c r="J134" s="26">
        <f t="shared" si="37"/>
        <v>0</v>
      </c>
      <c r="K134" s="26">
        <f t="shared" si="37"/>
        <v>0</v>
      </c>
      <c r="L134" s="26">
        <f t="shared" si="37"/>
        <v>0</v>
      </c>
      <c r="M134" s="82"/>
      <c r="Y134" s="141"/>
    </row>
    <row r="135" spans="1:25" s="35" customFormat="1" ht="21.75" customHeight="1">
      <c r="A135" s="117"/>
      <c r="B135" s="99"/>
      <c r="C135" s="102"/>
      <c r="D135" s="136"/>
      <c r="E135" s="102"/>
      <c r="F135" s="16" t="s">
        <v>13</v>
      </c>
      <c r="G135" s="26">
        <f>H135+I135+J135+K135+L135</f>
        <v>851660</v>
      </c>
      <c r="H135" s="26">
        <v>0</v>
      </c>
      <c r="I135" s="26">
        <f>20320+351340+480000</f>
        <v>851660</v>
      </c>
      <c r="J135" s="26">
        <v>0</v>
      </c>
      <c r="K135" s="26">
        <v>0</v>
      </c>
      <c r="L135" s="26">
        <v>0</v>
      </c>
      <c r="M135" s="82"/>
      <c r="O135" s="36">
        <f>1759000+1400000+4507295+1195000</f>
        <v>8861295</v>
      </c>
      <c r="P135" s="36">
        <f>O135-N135</f>
        <v>8861295</v>
      </c>
      <c r="Y135" s="141"/>
    </row>
    <row r="136" spans="1:25" s="35" customFormat="1" ht="21.75" customHeight="1">
      <c r="A136" s="117"/>
      <c r="B136" s="99"/>
      <c r="C136" s="102"/>
      <c r="D136" s="136"/>
      <c r="E136" s="102"/>
      <c r="F136" s="16" t="s">
        <v>14</v>
      </c>
      <c r="G136" s="26">
        <f>H136+I136+J136+K136+L136</f>
        <v>405992.6</v>
      </c>
      <c r="H136" s="26">
        <v>0</v>
      </c>
      <c r="I136" s="26">
        <v>405992.6</v>
      </c>
      <c r="J136" s="26">
        <v>0</v>
      </c>
      <c r="K136" s="26">
        <v>0</v>
      </c>
      <c r="L136" s="26">
        <v>0</v>
      </c>
      <c r="M136" s="82"/>
      <c r="P136" s="36"/>
      <c r="Y136" s="141"/>
    </row>
    <row r="137" spans="1:25" s="35" customFormat="1" ht="21.75" customHeight="1">
      <c r="A137" s="118"/>
      <c r="B137" s="100"/>
      <c r="C137" s="106"/>
      <c r="D137" s="137"/>
      <c r="E137" s="106"/>
      <c r="F137" s="16" t="s">
        <v>15</v>
      </c>
      <c r="G137" s="26">
        <f>H137+I137+J137+K137+L137</f>
        <v>19893637.4</v>
      </c>
      <c r="H137" s="26">
        <v>0</v>
      </c>
      <c r="I137" s="26">
        <v>19893637.4</v>
      </c>
      <c r="J137" s="26">
        <v>0</v>
      </c>
      <c r="K137" s="26">
        <v>0</v>
      </c>
      <c r="L137" s="26">
        <v>0</v>
      </c>
      <c r="M137" s="82"/>
      <c r="N137" s="37"/>
      <c r="Y137" s="141"/>
    </row>
    <row r="138" spans="1:13" ht="21.75" customHeight="1">
      <c r="A138" s="116" t="s">
        <v>54</v>
      </c>
      <c r="B138" s="98" t="s">
        <v>166</v>
      </c>
      <c r="C138" s="101" t="s">
        <v>125</v>
      </c>
      <c r="D138" s="119" t="s">
        <v>129</v>
      </c>
      <c r="E138" s="101" t="s">
        <v>106</v>
      </c>
      <c r="F138" s="16" t="s">
        <v>12</v>
      </c>
      <c r="G138" s="26">
        <f aca="true" t="shared" si="38" ref="G138:L138">G139+G140+G141</f>
        <v>676415</v>
      </c>
      <c r="H138" s="26">
        <f t="shared" si="38"/>
        <v>0</v>
      </c>
      <c r="I138" s="26">
        <f t="shared" si="38"/>
        <v>676415</v>
      </c>
      <c r="J138" s="26">
        <f t="shared" si="38"/>
        <v>0</v>
      </c>
      <c r="K138" s="26">
        <f t="shared" si="38"/>
        <v>0</v>
      </c>
      <c r="L138" s="26">
        <f t="shared" si="38"/>
        <v>0</v>
      </c>
      <c r="M138" s="82"/>
    </row>
    <row r="139" spans="1:13" ht="21.75" customHeight="1">
      <c r="A139" s="117"/>
      <c r="B139" s="99"/>
      <c r="C139" s="102"/>
      <c r="D139" s="120"/>
      <c r="E139" s="102"/>
      <c r="F139" s="16" t="s">
        <v>13</v>
      </c>
      <c r="G139" s="26">
        <f>H139+I139+J139+K139+L139</f>
        <v>676415</v>
      </c>
      <c r="H139" s="26">
        <v>0</v>
      </c>
      <c r="I139" s="26">
        <v>676415</v>
      </c>
      <c r="J139" s="26">
        <v>0</v>
      </c>
      <c r="K139" s="26">
        <v>0</v>
      </c>
      <c r="L139" s="26">
        <v>0</v>
      </c>
      <c r="M139" s="82"/>
    </row>
    <row r="140" spans="1:13" ht="21.75" customHeight="1">
      <c r="A140" s="117"/>
      <c r="B140" s="99"/>
      <c r="C140" s="102"/>
      <c r="D140" s="120"/>
      <c r="E140" s="102"/>
      <c r="F140" s="16" t="s">
        <v>14</v>
      </c>
      <c r="G140" s="26">
        <f>H140+I140+J140+K140+L140</f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82"/>
    </row>
    <row r="141" spans="1:13" ht="21.75" customHeight="1">
      <c r="A141" s="118"/>
      <c r="B141" s="100"/>
      <c r="C141" s="102"/>
      <c r="D141" s="121"/>
      <c r="E141" s="106"/>
      <c r="F141" s="16" t="s">
        <v>15</v>
      </c>
      <c r="G141" s="26">
        <f>H141+I141+J141+K141+L141</f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122"/>
    </row>
    <row r="142" spans="1:13" ht="21.75" customHeight="1">
      <c r="A142" s="116" t="s">
        <v>84</v>
      </c>
      <c r="B142" s="98" t="s">
        <v>53</v>
      </c>
      <c r="C142" s="101" t="s">
        <v>125</v>
      </c>
      <c r="D142" s="119" t="s">
        <v>131</v>
      </c>
      <c r="E142" s="101" t="s">
        <v>106</v>
      </c>
      <c r="F142" s="16" t="s">
        <v>12</v>
      </c>
      <c r="G142" s="26">
        <f aca="true" t="shared" si="39" ref="G142:L142">G143+G144+G145</f>
        <v>3700622.2800000003</v>
      </c>
      <c r="H142" s="26">
        <f t="shared" si="39"/>
        <v>547300</v>
      </c>
      <c r="I142" s="26">
        <f t="shared" si="39"/>
        <v>708294.28</v>
      </c>
      <c r="J142" s="26">
        <f t="shared" si="39"/>
        <v>783340</v>
      </c>
      <c r="K142" s="26">
        <f t="shared" si="39"/>
        <v>814538</v>
      </c>
      <c r="L142" s="26">
        <f t="shared" si="39"/>
        <v>847150</v>
      </c>
      <c r="M142" s="81" t="s">
        <v>120</v>
      </c>
    </row>
    <row r="143" spans="1:13" ht="21.75" customHeight="1">
      <c r="A143" s="117"/>
      <c r="B143" s="99"/>
      <c r="C143" s="102"/>
      <c r="D143" s="120"/>
      <c r="E143" s="102"/>
      <c r="F143" s="16" t="s">
        <v>13</v>
      </c>
      <c r="G143" s="26">
        <f>H143+I143+J143+K143+L143</f>
        <v>2528402.2800000003</v>
      </c>
      <c r="H143" s="26">
        <v>408000</v>
      </c>
      <c r="I143" s="26">
        <f>433440+44154.28</f>
        <v>477594.28</v>
      </c>
      <c r="J143" s="26">
        <v>526320</v>
      </c>
      <c r="K143" s="26">
        <v>547288</v>
      </c>
      <c r="L143" s="26">
        <v>569200</v>
      </c>
      <c r="M143" s="82"/>
    </row>
    <row r="144" spans="1:13" ht="21.75" customHeight="1">
      <c r="A144" s="117"/>
      <c r="B144" s="99"/>
      <c r="C144" s="102"/>
      <c r="D144" s="120"/>
      <c r="E144" s="102"/>
      <c r="F144" s="16" t="s">
        <v>14</v>
      </c>
      <c r="G144" s="26">
        <f>H144+I144+J144+K144+L144</f>
        <v>1172220</v>
      </c>
      <c r="H144" s="26">
        <v>139300</v>
      </c>
      <c r="I144" s="26">
        <v>230700</v>
      </c>
      <c r="J144" s="26">
        <v>257020</v>
      </c>
      <c r="K144" s="26">
        <v>267250</v>
      </c>
      <c r="L144" s="26">
        <v>277950</v>
      </c>
      <c r="M144" s="82"/>
    </row>
    <row r="145" spans="1:13" ht="21.75" customHeight="1">
      <c r="A145" s="118"/>
      <c r="B145" s="100"/>
      <c r="C145" s="102"/>
      <c r="D145" s="121"/>
      <c r="E145" s="106"/>
      <c r="F145" s="16" t="s">
        <v>15</v>
      </c>
      <c r="G145" s="26">
        <f>H145+I145+J145+K145+L145</f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122"/>
    </row>
    <row r="146" spans="1:13" ht="21.75" customHeight="1">
      <c r="A146" s="116" t="s">
        <v>158</v>
      </c>
      <c r="B146" s="98" t="s">
        <v>88</v>
      </c>
      <c r="C146" s="101" t="s">
        <v>125</v>
      </c>
      <c r="D146" s="119" t="s">
        <v>139</v>
      </c>
      <c r="E146" s="101" t="s">
        <v>106</v>
      </c>
      <c r="F146" s="16" t="s">
        <v>12</v>
      </c>
      <c r="G146" s="26">
        <f aca="true" t="shared" si="40" ref="G146:L146">G147+G148+G149</f>
        <v>7318184.9</v>
      </c>
      <c r="H146" s="26">
        <f t="shared" si="40"/>
        <v>104312.9</v>
      </c>
      <c r="I146" s="26">
        <f t="shared" si="40"/>
        <v>1803468</v>
      </c>
      <c r="J146" s="26">
        <f t="shared" si="40"/>
        <v>1803468</v>
      </c>
      <c r="K146" s="26">
        <f t="shared" si="40"/>
        <v>1803468</v>
      </c>
      <c r="L146" s="26">
        <f t="shared" si="40"/>
        <v>1803468</v>
      </c>
      <c r="M146" s="81" t="s">
        <v>172</v>
      </c>
    </row>
    <row r="147" spans="1:14" ht="21.75" customHeight="1">
      <c r="A147" s="117"/>
      <c r="B147" s="99"/>
      <c r="C147" s="102"/>
      <c r="D147" s="120"/>
      <c r="E147" s="102"/>
      <c r="F147" s="16" t="s">
        <v>13</v>
      </c>
      <c r="G147" s="26">
        <f>H147+I147+J147+K147+L147</f>
        <v>3711248.9</v>
      </c>
      <c r="H147" s="26">
        <v>104312.9</v>
      </c>
      <c r="I147" s="26">
        <f>500000+401734</f>
        <v>901734</v>
      </c>
      <c r="J147" s="26">
        <v>901734</v>
      </c>
      <c r="K147" s="26">
        <v>901734</v>
      </c>
      <c r="L147" s="26">
        <v>901734</v>
      </c>
      <c r="M147" s="82"/>
      <c r="N147" s="13"/>
    </row>
    <row r="148" spans="1:13" ht="21.75" customHeight="1">
      <c r="A148" s="117"/>
      <c r="B148" s="99"/>
      <c r="C148" s="102"/>
      <c r="D148" s="120"/>
      <c r="E148" s="102"/>
      <c r="F148" s="16" t="s">
        <v>14</v>
      </c>
      <c r="G148" s="26">
        <f>H148+I148+J148+K148+L148</f>
        <v>3606936</v>
      </c>
      <c r="H148" s="26"/>
      <c r="I148" s="26">
        <v>901734</v>
      </c>
      <c r="J148" s="26">
        <v>901734</v>
      </c>
      <c r="K148" s="26">
        <v>901734</v>
      </c>
      <c r="L148" s="26">
        <v>901734</v>
      </c>
      <c r="M148" s="82"/>
    </row>
    <row r="149" spans="1:13" ht="21.75" customHeight="1">
      <c r="A149" s="118"/>
      <c r="B149" s="100"/>
      <c r="C149" s="102"/>
      <c r="D149" s="121"/>
      <c r="E149" s="106"/>
      <c r="F149" s="16" t="s">
        <v>15</v>
      </c>
      <c r="G149" s="26">
        <f>H149+I149+J149+K149+L149</f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122"/>
    </row>
    <row r="150" spans="1:13" ht="21.75" customHeight="1">
      <c r="A150" s="116" t="s">
        <v>164</v>
      </c>
      <c r="B150" s="98" t="s">
        <v>163</v>
      </c>
      <c r="C150" s="101" t="s">
        <v>125</v>
      </c>
      <c r="D150" s="119" t="s">
        <v>139</v>
      </c>
      <c r="E150" s="101" t="s">
        <v>106</v>
      </c>
      <c r="F150" s="16" t="s">
        <v>12</v>
      </c>
      <c r="G150" s="26">
        <f aca="true" t="shared" si="41" ref="G150:L150">G151+G152+G153</f>
        <v>5901276.970000001</v>
      </c>
      <c r="H150" s="26">
        <f t="shared" si="41"/>
        <v>2568957</v>
      </c>
      <c r="I150" s="26">
        <f t="shared" si="41"/>
        <v>1360722.97</v>
      </c>
      <c r="J150" s="26">
        <f t="shared" si="41"/>
        <v>257165</v>
      </c>
      <c r="K150" s="26">
        <f t="shared" si="41"/>
        <v>857216</v>
      </c>
      <c r="L150" s="26">
        <f t="shared" si="41"/>
        <v>857216</v>
      </c>
      <c r="M150" s="81" t="s">
        <v>165</v>
      </c>
    </row>
    <row r="151" spans="1:14" ht="21.75" customHeight="1">
      <c r="A151" s="117"/>
      <c r="B151" s="99"/>
      <c r="C151" s="102"/>
      <c r="D151" s="120"/>
      <c r="E151" s="102"/>
      <c r="F151" s="16" t="s">
        <v>13</v>
      </c>
      <c r="G151" s="26">
        <f>H151+I151+J151+K151+L151</f>
        <v>2300398.99</v>
      </c>
      <c r="H151" s="26">
        <v>770687.1</v>
      </c>
      <c r="I151" s="26">
        <f>670000-411783.11+500000</f>
        <v>758216.89</v>
      </c>
      <c r="J151" s="26">
        <v>257165</v>
      </c>
      <c r="K151" s="26">
        <v>257165</v>
      </c>
      <c r="L151" s="26">
        <v>257165</v>
      </c>
      <c r="M151" s="82"/>
      <c r="N151" s="13"/>
    </row>
    <row r="152" spans="1:13" ht="21.75" customHeight="1">
      <c r="A152" s="117"/>
      <c r="B152" s="99"/>
      <c r="C152" s="102"/>
      <c r="D152" s="120"/>
      <c r="E152" s="102"/>
      <c r="F152" s="16" t="s">
        <v>14</v>
      </c>
      <c r="G152" s="26">
        <f>H152+I152+J152+K152+L152</f>
        <v>3600877.98</v>
      </c>
      <c r="H152" s="26">
        <v>1798269.9</v>
      </c>
      <c r="I152" s="26">
        <v>602506.08</v>
      </c>
      <c r="J152" s="26">
        <f>600051-600051</f>
        <v>0</v>
      </c>
      <c r="K152" s="26">
        <v>600051</v>
      </c>
      <c r="L152" s="26">
        <v>600051</v>
      </c>
      <c r="M152" s="82"/>
    </row>
    <row r="153" spans="1:13" ht="21.75" customHeight="1">
      <c r="A153" s="118"/>
      <c r="B153" s="100"/>
      <c r="C153" s="102"/>
      <c r="D153" s="121"/>
      <c r="E153" s="106"/>
      <c r="F153" s="16" t="s">
        <v>15</v>
      </c>
      <c r="G153" s="26">
        <f>H153+I153+J153+K153+L153</f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122"/>
    </row>
    <row r="154" spans="1:13" ht="21.75" customHeight="1">
      <c r="A154" s="78"/>
      <c r="B154" s="98" t="s">
        <v>90</v>
      </c>
      <c r="C154" s="101" t="s">
        <v>125</v>
      </c>
      <c r="D154" s="135" t="s">
        <v>156</v>
      </c>
      <c r="E154" s="101" t="s">
        <v>106</v>
      </c>
      <c r="F154" s="16" t="s">
        <v>12</v>
      </c>
      <c r="G154" s="26">
        <f>G155+G156+G157</f>
        <v>227000</v>
      </c>
      <c r="H154" s="26">
        <v>0</v>
      </c>
      <c r="I154" s="26">
        <f>I155+I156+I157</f>
        <v>0</v>
      </c>
      <c r="J154" s="26">
        <f>J155+J156+J157</f>
        <v>0</v>
      </c>
      <c r="K154" s="26">
        <v>0</v>
      </c>
      <c r="L154" s="26">
        <f>L155+L156+L157</f>
        <v>0</v>
      </c>
      <c r="M154" s="81" t="s">
        <v>171</v>
      </c>
    </row>
    <row r="155" spans="1:13" ht="21.75" customHeight="1">
      <c r="A155" s="78" t="s">
        <v>167</v>
      </c>
      <c r="B155" s="99"/>
      <c r="C155" s="102"/>
      <c r="D155" s="136"/>
      <c r="E155" s="102"/>
      <c r="F155" s="16" t="s">
        <v>13</v>
      </c>
      <c r="G155" s="26">
        <f>H155+I155+J155+K155+L155</f>
        <v>227000</v>
      </c>
      <c r="H155" s="26">
        <v>227000</v>
      </c>
      <c r="I155" s="26">
        <v>0</v>
      </c>
      <c r="J155" s="26">
        <v>0</v>
      </c>
      <c r="K155" s="26">
        <v>0</v>
      </c>
      <c r="L155" s="26">
        <v>0</v>
      </c>
      <c r="M155" s="82"/>
    </row>
    <row r="156" spans="1:13" ht="21.75" customHeight="1">
      <c r="A156" s="78"/>
      <c r="B156" s="99"/>
      <c r="C156" s="102"/>
      <c r="D156" s="136"/>
      <c r="E156" s="102"/>
      <c r="F156" s="16" t="s">
        <v>14</v>
      </c>
      <c r="G156" s="26">
        <f>H156+I156+J156+K156+L156</f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82"/>
    </row>
    <row r="157" spans="1:13" ht="21.75" customHeight="1">
      <c r="A157" s="78"/>
      <c r="B157" s="100"/>
      <c r="C157" s="102"/>
      <c r="D157" s="137"/>
      <c r="E157" s="106"/>
      <c r="F157" s="16" t="s">
        <v>15</v>
      </c>
      <c r="G157" s="26">
        <f>H157+I157+J157+K157+L157</f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82"/>
    </row>
    <row r="158" spans="1:13" ht="21.75" customHeight="1">
      <c r="A158" s="116" t="s">
        <v>168</v>
      </c>
      <c r="B158" s="98" t="s">
        <v>157</v>
      </c>
      <c r="C158" s="101" t="s">
        <v>125</v>
      </c>
      <c r="D158" s="103" t="s">
        <v>135</v>
      </c>
      <c r="E158" s="101" t="s">
        <v>106</v>
      </c>
      <c r="F158" s="16" t="s">
        <v>12</v>
      </c>
      <c r="G158" s="26">
        <f aca="true" t="shared" si="42" ref="G158:L158">G159+G160+G161</f>
        <v>77982074.95</v>
      </c>
      <c r="H158" s="26">
        <f t="shared" si="42"/>
        <v>8281288.9</v>
      </c>
      <c r="I158" s="26">
        <f t="shared" si="42"/>
        <v>16181140.54</v>
      </c>
      <c r="J158" s="26">
        <f t="shared" si="42"/>
        <v>18082205.8</v>
      </c>
      <c r="K158" s="26">
        <f t="shared" si="42"/>
        <v>17537287.4</v>
      </c>
      <c r="L158" s="26">
        <f t="shared" si="42"/>
        <v>17900152.31</v>
      </c>
      <c r="M158" s="81" t="s">
        <v>161</v>
      </c>
    </row>
    <row r="159" spans="1:13" ht="21.75" customHeight="1">
      <c r="A159" s="117"/>
      <c r="B159" s="99"/>
      <c r="C159" s="102"/>
      <c r="D159" s="104"/>
      <c r="E159" s="102"/>
      <c r="F159" s="16" t="s">
        <v>13</v>
      </c>
      <c r="G159" s="26">
        <f>H159+I159+J159+K159+L159</f>
        <v>78017.76000000001</v>
      </c>
      <c r="H159" s="26">
        <v>8281.29</v>
      </c>
      <c r="I159" s="26">
        <v>16181.139999999996</v>
      </c>
      <c r="J159" s="26">
        <f>17660.82+421.39</f>
        <v>18082.21</v>
      </c>
      <c r="K159" s="26">
        <v>17537.33</v>
      </c>
      <c r="L159" s="26">
        <v>17935.79</v>
      </c>
      <c r="M159" s="82"/>
    </row>
    <row r="160" spans="1:13" ht="21.75" customHeight="1">
      <c r="A160" s="117"/>
      <c r="B160" s="99"/>
      <c r="C160" s="102"/>
      <c r="D160" s="104"/>
      <c r="E160" s="102"/>
      <c r="F160" s="16" t="s">
        <v>14</v>
      </c>
      <c r="G160" s="26">
        <f>H160+I160+J160+K160+L160</f>
        <v>8836957.190000001</v>
      </c>
      <c r="H160" s="26">
        <f>1873906.61+1</f>
        <v>1873907.61</v>
      </c>
      <c r="I160" s="26">
        <v>1616459.4000000001</v>
      </c>
      <c r="J160" s="26">
        <v>1806423.59</v>
      </c>
      <c r="K160" s="26">
        <v>1751950.07</v>
      </c>
      <c r="L160" s="26">
        <v>1788216.52</v>
      </c>
      <c r="M160" s="82"/>
    </row>
    <row r="161" spans="1:13" ht="21.75" customHeight="1">
      <c r="A161" s="118"/>
      <c r="B161" s="100"/>
      <c r="C161" s="102"/>
      <c r="D161" s="105"/>
      <c r="E161" s="106"/>
      <c r="F161" s="16" t="s">
        <v>15</v>
      </c>
      <c r="G161" s="26">
        <f>H161+I161+J161+K161+L161</f>
        <v>69067100</v>
      </c>
      <c r="H161" s="26">
        <v>6399100</v>
      </c>
      <c r="I161" s="26">
        <v>14548499.999999998</v>
      </c>
      <c r="J161" s="26">
        <v>16257700</v>
      </c>
      <c r="K161" s="26">
        <v>15767800</v>
      </c>
      <c r="L161" s="26">
        <v>16094000</v>
      </c>
      <c r="M161" s="122"/>
    </row>
    <row r="162" spans="1:13" ht="21.75" customHeight="1">
      <c r="A162" s="116" t="s">
        <v>178</v>
      </c>
      <c r="B162" s="98" t="s">
        <v>180</v>
      </c>
      <c r="C162" s="101" t="s">
        <v>125</v>
      </c>
      <c r="D162" s="103" t="s">
        <v>135</v>
      </c>
      <c r="E162" s="101" t="s">
        <v>106</v>
      </c>
      <c r="F162" s="16" t="s">
        <v>12</v>
      </c>
      <c r="G162" s="26">
        <f aca="true" t="shared" si="43" ref="G162:L162">G163+G164+G165</f>
        <v>12582973</v>
      </c>
      <c r="H162" s="26">
        <f t="shared" si="43"/>
        <v>0</v>
      </c>
      <c r="I162" s="26">
        <f t="shared" si="43"/>
        <v>0</v>
      </c>
      <c r="J162" s="26">
        <f t="shared" si="43"/>
        <v>4233923</v>
      </c>
      <c r="K162" s="26">
        <f t="shared" si="43"/>
        <v>4174525</v>
      </c>
      <c r="L162" s="26">
        <f t="shared" si="43"/>
        <v>4174525</v>
      </c>
      <c r="M162" s="81" t="s">
        <v>188</v>
      </c>
    </row>
    <row r="163" spans="1:13" ht="21.75" customHeight="1">
      <c r="A163" s="117"/>
      <c r="B163" s="99"/>
      <c r="C163" s="102"/>
      <c r="D163" s="104"/>
      <c r="E163" s="102"/>
      <c r="F163" s="16" t="s">
        <v>13</v>
      </c>
      <c r="G163" s="26">
        <f>H163+I163+J163+K163+L163</f>
        <v>12582973</v>
      </c>
      <c r="H163" s="26"/>
      <c r="I163" s="26"/>
      <c r="J163" s="26">
        <f>4243923-10000</f>
        <v>4233923</v>
      </c>
      <c r="K163" s="26">
        <v>4174525</v>
      </c>
      <c r="L163" s="26">
        <v>4174525</v>
      </c>
      <c r="M163" s="82"/>
    </row>
    <row r="164" spans="1:13" ht="21.75" customHeight="1">
      <c r="A164" s="117"/>
      <c r="B164" s="99"/>
      <c r="C164" s="102"/>
      <c r="D164" s="104"/>
      <c r="E164" s="102"/>
      <c r="F164" s="16" t="s">
        <v>14</v>
      </c>
      <c r="G164" s="26">
        <f>H164+I164+J164+K164+L164</f>
        <v>0</v>
      </c>
      <c r="H164" s="26"/>
      <c r="I164" s="26"/>
      <c r="J164" s="26">
        <v>0</v>
      </c>
      <c r="K164" s="26">
        <v>0</v>
      </c>
      <c r="L164" s="26">
        <v>0</v>
      </c>
      <c r="M164" s="82"/>
    </row>
    <row r="165" spans="1:13" ht="21.75" customHeight="1">
      <c r="A165" s="118"/>
      <c r="B165" s="100"/>
      <c r="C165" s="102"/>
      <c r="D165" s="105"/>
      <c r="E165" s="106"/>
      <c r="F165" s="16" t="s">
        <v>15</v>
      </c>
      <c r="G165" s="26">
        <f>H165+I165+J165+K165+L165</f>
        <v>0</v>
      </c>
      <c r="H165" s="26"/>
      <c r="I165" s="26"/>
      <c r="J165" s="26">
        <v>0</v>
      </c>
      <c r="K165" s="26">
        <v>0</v>
      </c>
      <c r="L165" s="26">
        <v>0</v>
      </c>
      <c r="M165" s="122"/>
    </row>
    <row r="166" spans="1:13" ht="21.75" customHeight="1">
      <c r="A166" s="116" t="s">
        <v>179</v>
      </c>
      <c r="B166" s="98" t="s">
        <v>181</v>
      </c>
      <c r="C166" s="101" t="s">
        <v>125</v>
      </c>
      <c r="D166" s="103" t="s">
        <v>135</v>
      </c>
      <c r="E166" s="101" t="s">
        <v>106</v>
      </c>
      <c r="F166" s="16" t="s">
        <v>12</v>
      </c>
      <c r="G166" s="26">
        <f aca="true" t="shared" si="44" ref="G166:L166">G167+G168+G169</f>
        <v>6402467</v>
      </c>
      <c r="H166" s="26">
        <f t="shared" si="44"/>
        <v>0</v>
      </c>
      <c r="I166" s="26">
        <f t="shared" si="44"/>
        <v>0</v>
      </c>
      <c r="J166" s="26">
        <f t="shared" si="44"/>
        <v>1630221</v>
      </c>
      <c r="K166" s="26">
        <f t="shared" si="44"/>
        <v>2386123</v>
      </c>
      <c r="L166" s="26">
        <f t="shared" si="44"/>
        <v>2386123</v>
      </c>
      <c r="M166" s="81" t="s">
        <v>184</v>
      </c>
    </row>
    <row r="167" spans="1:13" ht="21.75" customHeight="1">
      <c r="A167" s="117"/>
      <c r="B167" s="99"/>
      <c r="C167" s="102"/>
      <c r="D167" s="104"/>
      <c r="E167" s="102"/>
      <c r="F167" s="16" t="s">
        <v>13</v>
      </c>
      <c r="G167" s="26">
        <f>H167+I167+J167+K167+L167</f>
        <v>6402467</v>
      </c>
      <c r="H167" s="26"/>
      <c r="I167" s="26"/>
      <c r="J167" s="26">
        <v>1630221</v>
      </c>
      <c r="K167" s="26">
        <v>2386123</v>
      </c>
      <c r="L167" s="26">
        <v>2386123</v>
      </c>
      <c r="M167" s="82"/>
    </row>
    <row r="168" spans="1:13" ht="21.75" customHeight="1">
      <c r="A168" s="117"/>
      <c r="B168" s="99"/>
      <c r="C168" s="102"/>
      <c r="D168" s="104"/>
      <c r="E168" s="102"/>
      <c r="F168" s="16" t="s">
        <v>14</v>
      </c>
      <c r="G168" s="26">
        <f>H168+I168+J168+K168+L168</f>
        <v>0</v>
      </c>
      <c r="H168" s="26"/>
      <c r="I168" s="26"/>
      <c r="J168" s="26">
        <v>0</v>
      </c>
      <c r="K168" s="26">
        <v>0</v>
      </c>
      <c r="L168" s="26">
        <v>0</v>
      </c>
      <c r="M168" s="82"/>
    </row>
    <row r="169" spans="1:13" ht="21.75" customHeight="1">
      <c r="A169" s="118"/>
      <c r="B169" s="100"/>
      <c r="C169" s="102"/>
      <c r="D169" s="105"/>
      <c r="E169" s="106"/>
      <c r="F169" s="16" t="s">
        <v>15</v>
      </c>
      <c r="G169" s="26">
        <f>H169+I169+J169+K169+L169</f>
        <v>0</v>
      </c>
      <c r="H169" s="26"/>
      <c r="I169" s="26"/>
      <c r="J169" s="26">
        <v>0</v>
      </c>
      <c r="K169" s="26">
        <v>0</v>
      </c>
      <c r="L169" s="26">
        <v>0</v>
      </c>
      <c r="M169" s="122"/>
    </row>
    <row r="170" spans="1:13" ht="22.5" customHeight="1">
      <c r="A170" s="107" t="s">
        <v>55</v>
      </c>
      <c r="B170" s="110" t="s">
        <v>147</v>
      </c>
      <c r="C170" s="113" t="s">
        <v>125</v>
      </c>
      <c r="D170" s="134" t="s">
        <v>122</v>
      </c>
      <c r="E170" s="113" t="s">
        <v>106</v>
      </c>
      <c r="F170" s="39" t="s">
        <v>12</v>
      </c>
      <c r="G170" s="40">
        <f aca="true" t="shared" si="45" ref="G170:L170">G171+G172+G173</f>
        <v>290636020.29999995</v>
      </c>
      <c r="H170" s="40">
        <f>H171+H172+H173</f>
        <v>21453187.27</v>
      </c>
      <c r="I170" s="40">
        <f>I171+I172+I173</f>
        <v>27523645.13</v>
      </c>
      <c r="J170" s="40">
        <f>J171+J172+J173</f>
        <v>171999327.18</v>
      </c>
      <c r="K170" s="40">
        <f t="shared" si="45"/>
        <v>57633914.71999999</v>
      </c>
      <c r="L170" s="40">
        <f t="shared" si="45"/>
        <v>12025946</v>
      </c>
      <c r="M170" s="126"/>
    </row>
    <row r="171" spans="1:13" ht="22.5" customHeight="1">
      <c r="A171" s="108"/>
      <c r="B171" s="111"/>
      <c r="C171" s="114"/>
      <c r="D171" s="139"/>
      <c r="E171" s="114"/>
      <c r="F171" s="39" t="s">
        <v>13</v>
      </c>
      <c r="G171" s="40">
        <f>H171+I171+J171+K171+L171</f>
        <v>64801840.12</v>
      </c>
      <c r="H171" s="40">
        <f>H175+H183+H187+H191+H195+H203+H207+H199+H179</f>
        <v>9911340.129999999</v>
      </c>
      <c r="I171" s="40">
        <f>I175+I183+I187+I191+I195+I203+I207+I199+I179</f>
        <v>12393058.969999999</v>
      </c>
      <c r="J171" s="40">
        <f>J175+J183+J187+J191+J195+J203+J207+J199+J179</f>
        <v>19264807.62</v>
      </c>
      <c r="K171" s="40">
        <f>K175+K183+K187+K191+K195+K203+K207+K199+K179</f>
        <v>11206687.4</v>
      </c>
      <c r="L171" s="40">
        <f>L175+L183+L187+L191+L195+L203+L207+L199+L179</f>
        <v>12025946</v>
      </c>
      <c r="M171" s="127"/>
    </row>
    <row r="172" spans="1:13" ht="22.5" customHeight="1">
      <c r="A172" s="108"/>
      <c r="B172" s="111"/>
      <c r="C172" s="114"/>
      <c r="D172" s="139"/>
      <c r="E172" s="114"/>
      <c r="F172" s="39" t="s">
        <v>14</v>
      </c>
      <c r="G172" s="40">
        <f>H172+I172+J172+K172+L172</f>
        <v>63396098.17999999</v>
      </c>
      <c r="H172" s="40">
        <f aca="true" t="shared" si="46" ref="H172:L173">H176+H184+H188+H192+H196+H204+H208+H200+H180</f>
        <v>11541847.14</v>
      </c>
      <c r="I172" s="40">
        <f t="shared" si="46"/>
        <v>15130586.16</v>
      </c>
      <c r="J172" s="40">
        <f t="shared" si="46"/>
        <v>18094837.560000002</v>
      </c>
      <c r="K172" s="40">
        <f t="shared" si="46"/>
        <v>18628827.319999993</v>
      </c>
      <c r="L172" s="40">
        <f t="shared" si="46"/>
        <v>0</v>
      </c>
      <c r="M172" s="127"/>
    </row>
    <row r="173" spans="1:26" ht="22.5" customHeight="1">
      <c r="A173" s="109"/>
      <c r="B173" s="112"/>
      <c r="C173" s="115"/>
      <c r="D173" s="140"/>
      <c r="E173" s="115"/>
      <c r="F173" s="39" t="s">
        <v>15</v>
      </c>
      <c r="G173" s="40">
        <f>H173+I173+J173+K173+L173</f>
        <v>162438082</v>
      </c>
      <c r="H173" s="40">
        <f t="shared" si="46"/>
        <v>0</v>
      </c>
      <c r="I173" s="40">
        <f t="shared" si="46"/>
        <v>0</v>
      </c>
      <c r="J173" s="40">
        <f t="shared" si="46"/>
        <v>134639682</v>
      </c>
      <c r="K173" s="40">
        <f t="shared" si="46"/>
        <v>27798400</v>
      </c>
      <c r="L173" s="40">
        <f t="shared" si="46"/>
        <v>0</v>
      </c>
      <c r="M173" s="128"/>
      <c r="Y173" s="138" t="s">
        <v>87</v>
      </c>
      <c r="Z173" s="3"/>
    </row>
    <row r="174" spans="1:25" ht="21.75" customHeight="1">
      <c r="A174" s="116" t="s">
        <v>56</v>
      </c>
      <c r="B174" s="98" t="s">
        <v>77</v>
      </c>
      <c r="C174" s="101" t="s">
        <v>125</v>
      </c>
      <c r="D174" s="103" t="s">
        <v>138</v>
      </c>
      <c r="E174" s="101" t="s">
        <v>106</v>
      </c>
      <c r="F174" s="16" t="s">
        <v>12</v>
      </c>
      <c r="G174" s="26">
        <f aca="true" t="shared" si="47" ref="G174:L174">G175+G176+G177</f>
        <v>58982858.81999999</v>
      </c>
      <c r="H174" s="26">
        <f t="shared" si="47"/>
        <v>14048396.27</v>
      </c>
      <c r="I174" s="26">
        <f t="shared" si="47"/>
        <v>23290645.13</v>
      </c>
      <c r="J174" s="26">
        <f t="shared" si="47"/>
        <v>10484307.42</v>
      </c>
      <c r="K174" s="26">
        <f t="shared" si="47"/>
        <v>3851130</v>
      </c>
      <c r="L174" s="26">
        <f t="shared" si="47"/>
        <v>7308380</v>
      </c>
      <c r="M174" s="82" t="s">
        <v>151</v>
      </c>
      <c r="Y174" s="138"/>
    </row>
    <row r="175" spans="1:25" ht="21.75" customHeight="1">
      <c r="A175" s="117"/>
      <c r="B175" s="99"/>
      <c r="C175" s="102"/>
      <c r="D175" s="104"/>
      <c r="E175" s="102"/>
      <c r="F175" s="16" t="s">
        <v>13</v>
      </c>
      <c r="G175" s="26">
        <f>H175+I175+J175+K175+L175</f>
        <v>35781479.519999996</v>
      </c>
      <c r="H175" s="26">
        <f>4000000-H131-H111+334873.66+53210+571000.3+10000+159070+599000+565000-21070.83</f>
        <v>4977603.13</v>
      </c>
      <c r="I175" s="26">
        <f>7673601.18+600000+400000-13542.21+500000</f>
        <v>9160058.969999999</v>
      </c>
      <c r="J175" s="26">
        <f>525000+1263497+500000+1500000+500000+500000+1510000+600000+2083259.42+25778.4+308292+184790+'[11]иные 10.06.2022'!$N$8+'[11]иные 10.06.2022'!$N$15+'[11]иные 10.06.2022'!$BC$18+'[11]иные 10.06.2022'!$AY$16-1263497+'[13]остатки средств в ФК_2'!$AG$57+'[13]остатки средств в ФК_2'!$AG$47</f>
        <v>10484307.42</v>
      </c>
      <c r="K175" s="26">
        <f>975565+1375565+1000000+500000</f>
        <v>3851130</v>
      </c>
      <c r="L175" s="26">
        <f>1975565+2375565+1457250+1000000+500000</f>
        <v>7308380</v>
      </c>
      <c r="M175" s="82"/>
      <c r="O175" s="3">
        <f>1759000+1400000+4507295+1195000</f>
        <v>8861295</v>
      </c>
      <c r="P175" s="3">
        <f>O175-N175</f>
        <v>8861295</v>
      </c>
      <c r="Y175" s="138"/>
    </row>
    <row r="176" spans="1:25" ht="21.75" customHeight="1">
      <c r="A176" s="117"/>
      <c r="B176" s="99"/>
      <c r="C176" s="102"/>
      <c r="D176" s="104"/>
      <c r="E176" s="102"/>
      <c r="F176" s="16" t="s">
        <v>14</v>
      </c>
      <c r="G176" s="26">
        <f>H176+I176+J176+K176+L176</f>
        <v>23201379.3</v>
      </c>
      <c r="H176" s="26">
        <f>3714220.8+5356572.34</f>
        <v>9070793.14</v>
      </c>
      <c r="I176" s="26">
        <v>14130586.16</v>
      </c>
      <c r="J176" s="26">
        <f>1500000-1500000</f>
        <v>0</v>
      </c>
      <c r="K176" s="26">
        <v>0</v>
      </c>
      <c r="L176" s="26">
        <v>0</v>
      </c>
      <c r="M176" s="82"/>
      <c r="P176" s="3"/>
      <c r="Y176" s="138"/>
    </row>
    <row r="177" spans="1:25" ht="21.75" customHeight="1">
      <c r="A177" s="118"/>
      <c r="B177" s="100"/>
      <c r="C177" s="102"/>
      <c r="D177" s="105"/>
      <c r="E177" s="106"/>
      <c r="F177" s="16" t="s">
        <v>15</v>
      </c>
      <c r="G177" s="26">
        <f>H177+I177+J177+K177+L177</f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82"/>
      <c r="N177" s="14"/>
      <c r="Y177" s="138"/>
    </row>
    <row r="178" spans="1:25" ht="21.75" customHeight="1">
      <c r="A178" s="116" t="s">
        <v>57</v>
      </c>
      <c r="B178" s="98" t="s">
        <v>194</v>
      </c>
      <c r="C178" s="101" t="s">
        <v>125</v>
      </c>
      <c r="D178" s="103" t="s">
        <v>138</v>
      </c>
      <c r="E178" s="101" t="s">
        <v>106</v>
      </c>
      <c r="F178" s="16" t="s">
        <v>12</v>
      </c>
      <c r="G178" s="26">
        <f aca="true" t="shared" si="48" ref="G178:L178">G179+G180+G181</f>
        <v>205762672.48</v>
      </c>
      <c r="H178" s="26">
        <f t="shared" si="48"/>
        <v>0</v>
      </c>
      <c r="I178" s="26">
        <f t="shared" si="48"/>
        <v>0</v>
      </c>
      <c r="J178" s="26">
        <f t="shared" si="48"/>
        <v>156997453.76</v>
      </c>
      <c r="K178" s="26">
        <f t="shared" si="48"/>
        <v>48765218.71999999</v>
      </c>
      <c r="L178" s="26">
        <f t="shared" si="48"/>
        <v>0</v>
      </c>
      <c r="M178" s="82"/>
      <c r="Y178" s="138"/>
    </row>
    <row r="179" spans="1:25" ht="21.75" customHeight="1">
      <c r="A179" s="117"/>
      <c r="B179" s="99"/>
      <c r="C179" s="102"/>
      <c r="D179" s="104"/>
      <c r="E179" s="102"/>
      <c r="F179" s="16" t="s">
        <v>13</v>
      </c>
      <c r="G179" s="26">
        <f>H179+I179+J179+K179+L179</f>
        <v>6850925.6</v>
      </c>
      <c r="H179" s="26">
        <v>0</v>
      </c>
      <c r="I179" s="26">
        <v>0</v>
      </c>
      <c r="J179" s="26">
        <f>718810.2+3764124+30000</f>
        <v>4512934.2</v>
      </c>
      <c r="K179" s="26">
        <f>1713916.16+'[15]СРБ на план. период'!$Y$41</f>
        <v>2337991.4</v>
      </c>
      <c r="L179" s="26">
        <v>0</v>
      </c>
      <c r="M179" s="82"/>
      <c r="O179" s="3">
        <f>1759000+1400000+4507295+1195000</f>
        <v>8861295</v>
      </c>
      <c r="P179" s="3">
        <f>O179-N179</f>
        <v>8861295</v>
      </c>
      <c r="Y179" s="138"/>
    </row>
    <row r="180" spans="1:25" ht="21.75" customHeight="1">
      <c r="A180" s="117"/>
      <c r="B180" s="99"/>
      <c r="C180" s="102"/>
      <c r="D180" s="104"/>
      <c r="E180" s="102"/>
      <c r="F180" s="16" t="s">
        <v>14</v>
      </c>
      <c r="G180" s="26">
        <f>H180+I180+J180+K180+L180</f>
        <v>36473664.879999995</v>
      </c>
      <c r="H180" s="26">
        <v>0</v>
      </c>
      <c r="I180" s="26">
        <v>0</v>
      </c>
      <c r="J180" s="26">
        <f>'[14]Всего'!$J$17+'[14]Всего'!$AT$17</f>
        <v>17844837.560000002</v>
      </c>
      <c r="K180" s="26">
        <f>'[14]Всего'!$AE$17+'[14]Всего'!$AW$17</f>
        <v>18628827.319999993</v>
      </c>
      <c r="L180" s="26">
        <v>0</v>
      </c>
      <c r="M180" s="82"/>
      <c r="P180" s="3"/>
      <c r="Y180" s="138"/>
    </row>
    <row r="181" spans="1:25" ht="21.75" customHeight="1">
      <c r="A181" s="118"/>
      <c r="B181" s="100"/>
      <c r="C181" s="102"/>
      <c r="D181" s="105"/>
      <c r="E181" s="106"/>
      <c r="F181" s="16" t="s">
        <v>15</v>
      </c>
      <c r="G181" s="26">
        <f>H181+I181+J181+K181+L181</f>
        <v>162438082</v>
      </c>
      <c r="H181" s="26">
        <v>0</v>
      </c>
      <c r="I181" s="26">
        <v>0</v>
      </c>
      <c r="J181" s="26">
        <f>'[14]Всего'!$G$17</f>
        <v>134639682</v>
      </c>
      <c r="K181" s="26">
        <f>'[14]Всего'!$AB$17</f>
        <v>27798400</v>
      </c>
      <c r="L181" s="26">
        <v>0</v>
      </c>
      <c r="M181" s="82"/>
      <c r="N181" s="14"/>
      <c r="Y181" s="138"/>
    </row>
    <row r="182" spans="1:25" ht="21.75" customHeight="1">
      <c r="A182" s="116" t="s">
        <v>58</v>
      </c>
      <c r="B182" s="98" t="s">
        <v>59</v>
      </c>
      <c r="C182" s="101" t="s">
        <v>125</v>
      </c>
      <c r="D182" s="135" t="s">
        <v>130</v>
      </c>
      <c r="E182" s="101" t="s">
        <v>106</v>
      </c>
      <c r="F182" s="16" t="s">
        <v>12</v>
      </c>
      <c r="G182" s="26">
        <f aca="true" t="shared" si="49" ref="G182:L182">G183+G184+G185</f>
        <v>6525000</v>
      </c>
      <c r="H182" s="26">
        <f t="shared" si="49"/>
        <v>2525000</v>
      </c>
      <c r="I182" s="26">
        <f t="shared" si="49"/>
        <v>2000000</v>
      </c>
      <c r="J182" s="26">
        <f t="shared" si="49"/>
        <v>0</v>
      </c>
      <c r="K182" s="26">
        <f t="shared" si="49"/>
        <v>1000000</v>
      </c>
      <c r="L182" s="26">
        <f t="shared" si="49"/>
        <v>1000000</v>
      </c>
      <c r="M182" s="82"/>
      <c r="N182" s="3"/>
      <c r="V182" s="3" t="e">
        <f>#REF!+#REF!+#REF!+#REF!</f>
        <v>#REF!</v>
      </c>
      <c r="Y182" s="138"/>
    </row>
    <row r="183" spans="1:25" ht="21.75" customHeight="1">
      <c r="A183" s="117"/>
      <c r="B183" s="99"/>
      <c r="C183" s="102"/>
      <c r="D183" s="136"/>
      <c r="E183" s="102"/>
      <c r="F183" s="16" t="s">
        <v>13</v>
      </c>
      <c r="G183" s="26">
        <f>H183+I183+J183+K183+L183</f>
        <v>4052500</v>
      </c>
      <c r="H183" s="26">
        <f>1000000+47250+5250</f>
        <v>1052500</v>
      </c>
      <c r="I183" s="26">
        <v>1000000</v>
      </c>
      <c r="J183" s="26">
        <v>0</v>
      </c>
      <c r="K183" s="26">
        <v>1000000</v>
      </c>
      <c r="L183" s="26">
        <v>1000000</v>
      </c>
      <c r="M183" s="82"/>
      <c r="Y183" s="138"/>
    </row>
    <row r="184" spans="1:25" ht="21.75" customHeight="1">
      <c r="A184" s="117"/>
      <c r="B184" s="99"/>
      <c r="C184" s="102"/>
      <c r="D184" s="136"/>
      <c r="E184" s="102"/>
      <c r="F184" s="16" t="s">
        <v>14</v>
      </c>
      <c r="G184" s="26">
        <f>H184+I184+J184+K184+L184</f>
        <v>2472500</v>
      </c>
      <c r="H184" s="26">
        <f>1000000+472500</f>
        <v>1472500</v>
      </c>
      <c r="I184" s="26">
        <v>1000000</v>
      </c>
      <c r="J184" s="26">
        <v>0</v>
      </c>
      <c r="K184" s="26">
        <v>0</v>
      </c>
      <c r="L184" s="26">
        <v>0</v>
      </c>
      <c r="M184" s="82"/>
      <c r="Y184" s="138"/>
    </row>
    <row r="185" spans="1:25" ht="21.75" customHeight="1">
      <c r="A185" s="118"/>
      <c r="B185" s="100"/>
      <c r="C185" s="102"/>
      <c r="D185" s="137"/>
      <c r="E185" s="106"/>
      <c r="F185" s="16" t="s">
        <v>15</v>
      </c>
      <c r="G185" s="26">
        <f>H185+I185+J185+K185+L185</f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82"/>
      <c r="Y185" s="138"/>
    </row>
    <row r="186" spans="1:25" ht="21.75" customHeight="1">
      <c r="A186" s="116" t="s">
        <v>191</v>
      </c>
      <c r="B186" s="98" t="s">
        <v>110</v>
      </c>
      <c r="C186" s="101" t="s">
        <v>125</v>
      </c>
      <c r="D186" s="103" t="s">
        <v>122</v>
      </c>
      <c r="E186" s="101" t="s">
        <v>106</v>
      </c>
      <c r="F186" s="16" t="s">
        <v>12</v>
      </c>
      <c r="G186" s="26">
        <f aca="true" t="shared" si="50" ref="G186:L186">G187+G188+G189</f>
        <v>12723773</v>
      </c>
      <c r="H186" s="26">
        <f t="shared" si="50"/>
        <v>3038075</v>
      </c>
      <c r="I186" s="26">
        <f t="shared" si="50"/>
        <v>2233000</v>
      </c>
      <c r="J186" s="26">
        <f t="shared" si="50"/>
        <v>2417566</v>
      </c>
      <c r="K186" s="26">
        <f t="shared" si="50"/>
        <v>2317566</v>
      </c>
      <c r="L186" s="26">
        <f t="shared" si="50"/>
        <v>2717566</v>
      </c>
      <c r="M186" s="82"/>
      <c r="Y186" s="138"/>
    </row>
    <row r="187" spans="1:25" ht="21.75" customHeight="1">
      <c r="A187" s="117"/>
      <c r="B187" s="99"/>
      <c r="C187" s="102"/>
      <c r="D187" s="104"/>
      <c r="E187" s="102"/>
      <c r="F187" s="16" t="s">
        <v>13</v>
      </c>
      <c r="G187" s="26">
        <f aca="true" t="shared" si="51" ref="G187:G201">H187+I187+J187+K187+L187</f>
        <v>12585698</v>
      </c>
      <c r="H187" s="26">
        <f>3200000-300000-62034+62034</f>
        <v>2900000</v>
      </c>
      <c r="I187" s="26">
        <f>1933000+300000</f>
        <v>2233000</v>
      </c>
      <c r="J187" s="26">
        <f>1127003+1186637+103926</f>
        <v>2417566</v>
      </c>
      <c r="K187" s="26">
        <f>1027003+1186637+103926</f>
        <v>2317566</v>
      </c>
      <c r="L187" s="26">
        <f>1427003+1186637+103926</f>
        <v>2717566</v>
      </c>
      <c r="M187" s="82"/>
      <c r="Y187" s="138"/>
    </row>
    <row r="188" spans="1:25" ht="21.75" customHeight="1">
      <c r="A188" s="117"/>
      <c r="B188" s="99"/>
      <c r="C188" s="102"/>
      <c r="D188" s="104"/>
      <c r="E188" s="102"/>
      <c r="F188" s="16" t="s">
        <v>14</v>
      </c>
      <c r="G188" s="26">
        <f t="shared" si="51"/>
        <v>138075</v>
      </c>
      <c r="H188" s="26">
        <v>138075</v>
      </c>
      <c r="I188" s="26">
        <v>0</v>
      </c>
      <c r="J188" s="26">
        <v>0</v>
      </c>
      <c r="K188" s="26">
        <v>0</v>
      </c>
      <c r="L188" s="26">
        <v>0</v>
      </c>
      <c r="M188" s="82"/>
      <c r="O188" s="3"/>
      <c r="Y188" s="138"/>
    </row>
    <row r="189" spans="1:25" ht="21.75" customHeight="1">
      <c r="A189" s="118"/>
      <c r="B189" s="100"/>
      <c r="C189" s="102"/>
      <c r="D189" s="105"/>
      <c r="E189" s="106"/>
      <c r="F189" s="16" t="s">
        <v>15</v>
      </c>
      <c r="G189" s="26">
        <f t="shared" si="51"/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82"/>
      <c r="O189" s="3"/>
      <c r="Y189" s="138"/>
    </row>
    <row r="190" spans="1:13" ht="21.75" customHeight="1">
      <c r="A190" s="116" t="s">
        <v>60</v>
      </c>
      <c r="B190" s="98" t="s">
        <v>61</v>
      </c>
      <c r="C190" s="101" t="s">
        <v>125</v>
      </c>
      <c r="D190" s="119" t="s">
        <v>140</v>
      </c>
      <c r="E190" s="101" t="s">
        <v>106</v>
      </c>
      <c r="F190" s="16" t="s">
        <v>12</v>
      </c>
      <c r="G190" s="26">
        <f aca="true" t="shared" si="52" ref="G190:L190">G191+G192+G193</f>
        <v>4575000</v>
      </c>
      <c r="H190" s="26">
        <f t="shared" si="52"/>
        <v>525000</v>
      </c>
      <c r="I190" s="26">
        <f t="shared" si="52"/>
        <v>0</v>
      </c>
      <c r="J190" s="26">
        <f t="shared" si="52"/>
        <v>1350000</v>
      </c>
      <c r="K190" s="26">
        <f t="shared" si="52"/>
        <v>1700000</v>
      </c>
      <c r="L190" s="26">
        <f t="shared" si="52"/>
        <v>1000000</v>
      </c>
      <c r="M190" s="82"/>
    </row>
    <row r="191" spans="1:15" ht="21.75" customHeight="1">
      <c r="A191" s="117"/>
      <c r="B191" s="99"/>
      <c r="C191" s="102"/>
      <c r="D191" s="120"/>
      <c r="E191" s="102"/>
      <c r="F191" s="16" t="s">
        <v>13</v>
      </c>
      <c r="G191" s="26">
        <f t="shared" si="51"/>
        <v>4325000</v>
      </c>
      <c r="H191" s="26">
        <f>700000+300000-475000</f>
        <v>525000</v>
      </c>
      <c r="I191" s="26">
        <v>0</v>
      </c>
      <c r="J191" s="26">
        <f>500000+600000</f>
        <v>1100000</v>
      </c>
      <c r="K191" s="26">
        <f>700000+300000+700000</f>
        <v>1700000</v>
      </c>
      <c r="L191" s="26">
        <f>700000+300000</f>
        <v>1000000</v>
      </c>
      <c r="M191" s="82"/>
      <c r="O191" s="2">
        <v>854209197.4</v>
      </c>
    </row>
    <row r="192" spans="1:15" ht="21.75" customHeight="1">
      <c r="A192" s="117"/>
      <c r="B192" s="99"/>
      <c r="C192" s="102"/>
      <c r="D192" s="120"/>
      <c r="E192" s="102"/>
      <c r="F192" s="16" t="s">
        <v>14</v>
      </c>
      <c r="G192" s="26">
        <f t="shared" si="51"/>
        <v>250000</v>
      </c>
      <c r="H192" s="26">
        <v>0</v>
      </c>
      <c r="I192" s="26">
        <v>0</v>
      </c>
      <c r="J192" s="26">
        <v>250000</v>
      </c>
      <c r="K192" s="26">
        <v>0</v>
      </c>
      <c r="L192" s="26">
        <v>0</v>
      </c>
      <c r="M192" s="82"/>
      <c r="O192" s="2">
        <v>852492090</v>
      </c>
    </row>
    <row r="193" spans="1:15" ht="21.75" customHeight="1">
      <c r="A193" s="118"/>
      <c r="B193" s="100"/>
      <c r="C193" s="102"/>
      <c r="D193" s="121"/>
      <c r="E193" s="106"/>
      <c r="F193" s="16" t="s">
        <v>15</v>
      </c>
      <c r="G193" s="26">
        <f t="shared" si="51"/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82"/>
      <c r="O193" s="2">
        <f>O191-O192</f>
        <v>1717107.3999999762</v>
      </c>
    </row>
    <row r="194" spans="1:13" s="12" customFormat="1" ht="21.75" customHeight="1">
      <c r="A194" s="116" t="s">
        <v>192</v>
      </c>
      <c r="B194" s="98" t="s">
        <v>155</v>
      </c>
      <c r="C194" s="101" t="s">
        <v>125</v>
      </c>
      <c r="D194" s="131" t="s">
        <v>156</v>
      </c>
      <c r="E194" s="101" t="s">
        <v>106</v>
      </c>
      <c r="F194" s="16" t="s">
        <v>12</v>
      </c>
      <c r="G194" s="26">
        <f aca="true" t="shared" si="53" ref="G194:L194">G195+G196+G197</f>
        <v>2066716</v>
      </c>
      <c r="H194" s="26">
        <f t="shared" si="53"/>
        <v>1316716</v>
      </c>
      <c r="I194" s="26">
        <f t="shared" si="53"/>
        <v>0</v>
      </c>
      <c r="J194" s="26">
        <f t="shared" si="53"/>
        <v>750000</v>
      </c>
      <c r="K194" s="26">
        <f t="shared" si="53"/>
        <v>0</v>
      </c>
      <c r="L194" s="26">
        <f t="shared" si="53"/>
        <v>0</v>
      </c>
      <c r="M194" s="82"/>
    </row>
    <row r="195" spans="1:13" s="12" customFormat="1" ht="21.75" customHeight="1">
      <c r="A195" s="117"/>
      <c r="B195" s="99"/>
      <c r="C195" s="102"/>
      <c r="D195" s="132"/>
      <c r="E195" s="102"/>
      <c r="F195" s="16" t="s">
        <v>13</v>
      </c>
      <c r="G195" s="26">
        <f>H195+I195+J195+K195+L195</f>
        <v>1206237</v>
      </c>
      <c r="H195" s="26">
        <f>368777+87460</f>
        <v>456237</v>
      </c>
      <c r="I195" s="26">
        <v>0</v>
      </c>
      <c r="J195" s="26">
        <f>+'[13]остатки средств в ФК_2'!$R$52</f>
        <v>750000</v>
      </c>
      <c r="K195" s="26">
        <v>0</v>
      </c>
      <c r="L195" s="26">
        <v>0</v>
      </c>
      <c r="M195" s="82"/>
    </row>
    <row r="196" spans="1:13" s="12" customFormat="1" ht="21.75" customHeight="1">
      <c r="A196" s="117"/>
      <c r="B196" s="99"/>
      <c r="C196" s="102"/>
      <c r="D196" s="132"/>
      <c r="E196" s="102"/>
      <c r="F196" s="16" t="s">
        <v>14</v>
      </c>
      <c r="G196" s="26">
        <f>H196+I196+J196+K196+L196</f>
        <v>860479</v>
      </c>
      <c r="H196" s="26">
        <v>860479</v>
      </c>
      <c r="I196" s="26">
        <v>0</v>
      </c>
      <c r="J196" s="26">
        <v>0</v>
      </c>
      <c r="K196" s="26">
        <v>0</v>
      </c>
      <c r="L196" s="26">
        <v>0</v>
      </c>
      <c r="M196" s="82"/>
    </row>
    <row r="197" spans="1:13" s="12" customFormat="1" ht="21.75" customHeight="1">
      <c r="A197" s="118"/>
      <c r="B197" s="100"/>
      <c r="C197" s="102"/>
      <c r="D197" s="133"/>
      <c r="E197" s="106"/>
      <c r="F197" s="16" t="s">
        <v>15</v>
      </c>
      <c r="G197" s="26">
        <f>H197+I197+J197+K197+L197</f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82"/>
    </row>
    <row r="198" spans="1:13" ht="21.75" customHeight="1" hidden="1" outlineLevel="1">
      <c r="A198" s="78"/>
      <c r="B198" s="98" t="s">
        <v>97</v>
      </c>
      <c r="C198" s="101" t="s">
        <v>125</v>
      </c>
      <c r="D198" s="101"/>
      <c r="E198" s="101" t="s">
        <v>106</v>
      </c>
      <c r="F198" s="16" t="s">
        <v>12</v>
      </c>
      <c r="G198" s="26">
        <f aca="true" t="shared" si="54" ref="G198:L198">G199+G200+G201</f>
        <v>0</v>
      </c>
      <c r="H198" s="26">
        <f t="shared" si="54"/>
        <v>0</v>
      </c>
      <c r="I198" s="26">
        <f t="shared" si="54"/>
        <v>0</v>
      </c>
      <c r="J198" s="26">
        <f t="shared" si="54"/>
        <v>0</v>
      </c>
      <c r="K198" s="26">
        <f t="shared" si="54"/>
        <v>0</v>
      </c>
      <c r="L198" s="26">
        <f t="shared" si="54"/>
        <v>0</v>
      </c>
      <c r="M198" s="82"/>
    </row>
    <row r="199" spans="1:13" ht="21.75" customHeight="1" hidden="1" outlineLevel="1">
      <c r="A199" s="80" t="s">
        <v>101</v>
      </c>
      <c r="B199" s="99"/>
      <c r="C199" s="102"/>
      <c r="D199" s="102"/>
      <c r="E199" s="102"/>
      <c r="F199" s="16" t="s">
        <v>13</v>
      </c>
      <c r="G199" s="26">
        <f t="shared" si="51"/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82"/>
    </row>
    <row r="200" spans="1:13" ht="21.75" customHeight="1" hidden="1" outlineLevel="1">
      <c r="A200" s="78"/>
      <c r="B200" s="99"/>
      <c r="C200" s="102"/>
      <c r="D200" s="102"/>
      <c r="E200" s="102"/>
      <c r="F200" s="16" t="s">
        <v>14</v>
      </c>
      <c r="G200" s="26">
        <f t="shared" si="51"/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82"/>
    </row>
    <row r="201" spans="1:13" ht="21.75" customHeight="1" hidden="1" outlineLevel="1">
      <c r="A201" s="78"/>
      <c r="B201" s="100"/>
      <c r="C201" s="102"/>
      <c r="D201" s="106"/>
      <c r="E201" s="106"/>
      <c r="F201" s="16" t="s">
        <v>15</v>
      </c>
      <c r="G201" s="26">
        <f t="shared" si="51"/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82"/>
    </row>
    <row r="202" spans="1:13" ht="21.75" customHeight="1" hidden="1" outlineLevel="1">
      <c r="A202" s="116" t="s">
        <v>154</v>
      </c>
      <c r="B202" s="98" t="s">
        <v>81</v>
      </c>
      <c r="C202" s="101" t="s">
        <v>125</v>
      </c>
      <c r="D202" s="101"/>
      <c r="E202" s="101" t="s">
        <v>106</v>
      </c>
      <c r="F202" s="16" t="s">
        <v>12</v>
      </c>
      <c r="G202" s="26">
        <f aca="true" t="shared" si="55" ref="G202:L202">G203+G204+G205</f>
        <v>0</v>
      </c>
      <c r="H202" s="26">
        <f t="shared" si="55"/>
        <v>0</v>
      </c>
      <c r="I202" s="26">
        <f t="shared" si="55"/>
        <v>0</v>
      </c>
      <c r="J202" s="26">
        <f t="shared" si="55"/>
        <v>0</v>
      </c>
      <c r="K202" s="26">
        <f t="shared" si="55"/>
        <v>0</v>
      </c>
      <c r="L202" s="26">
        <f t="shared" si="55"/>
        <v>0</v>
      </c>
      <c r="M202" s="82"/>
    </row>
    <row r="203" spans="1:13" ht="21.75" customHeight="1" hidden="1" outlineLevel="1">
      <c r="A203" s="117"/>
      <c r="B203" s="99"/>
      <c r="C203" s="102"/>
      <c r="D203" s="102"/>
      <c r="E203" s="102"/>
      <c r="F203" s="16" t="s">
        <v>13</v>
      </c>
      <c r="G203" s="26">
        <f>H203+I203+J203+K203+L203</f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82"/>
    </row>
    <row r="204" spans="1:13" ht="21.75" customHeight="1" hidden="1" outlineLevel="1">
      <c r="A204" s="117"/>
      <c r="B204" s="99"/>
      <c r="C204" s="102"/>
      <c r="D204" s="102"/>
      <c r="E204" s="102"/>
      <c r="F204" s="16" t="s">
        <v>14</v>
      </c>
      <c r="G204" s="26">
        <f>H204+I204+J204+K204+L204</f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82"/>
    </row>
    <row r="205" spans="1:13" ht="21.75" customHeight="1" hidden="1" outlineLevel="1">
      <c r="A205" s="118"/>
      <c r="B205" s="100"/>
      <c r="C205" s="102"/>
      <c r="D205" s="106"/>
      <c r="E205" s="106"/>
      <c r="F205" s="16" t="s">
        <v>15</v>
      </c>
      <c r="G205" s="26">
        <f>H205+I205+J205+K205+L205</f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82"/>
    </row>
    <row r="206" spans="1:25" ht="21.75" customHeight="1" hidden="1" outlineLevel="1">
      <c r="A206" s="78"/>
      <c r="B206" s="98" t="s">
        <v>98</v>
      </c>
      <c r="C206" s="101" t="s">
        <v>125</v>
      </c>
      <c r="D206" s="101"/>
      <c r="E206" s="101" t="s">
        <v>106</v>
      </c>
      <c r="F206" s="16" t="s">
        <v>12</v>
      </c>
      <c r="G206" s="26">
        <f aca="true" t="shared" si="56" ref="G206:L206">G207+G208+G209</f>
        <v>0</v>
      </c>
      <c r="H206" s="26">
        <f t="shared" si="56"/>
        <v>0</v>
      </c>
      <c r="I206" s="26">
        <f t="shared" si="56"/>
        <v>0</v>
      </c>
      <c r="J206" s="26">
        <f t="shared" si="56"/>
        <v>0</v>
      </c>
      <c r="K206" s="26">
        <f t="shared" si="56"/>
        <v>0</v>
      </c>
      <c r="L206" s="26">
        <f t="shared" si="56"/>
        <v>0</v>
      </c>
      <c r="M206" s="82"/>
      <c r="O206" s="3"/>
      <c r="Y206" s="15"/>
    </row>
    <row r="207" spans="1:25" ht="21.75" customHeight="1" hidden="1" outlineLevel="1">
      <c r="A207" s="78"/>
      <c r="B207" s="99"/>
      <c r="C207" s="102"/>
      <c r="D207" s="102"/>
      <c r="E207" s="102"/>
      <c r="F207" s="16" t="s">
        <v>13</v>
      </c>
      <c r="G207" s="26">
        <f>H207+I207+J207+K207+L207</f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82"/>
      <c r="O207" s="3"/>
      <c r="Y207" s="15"/>
    </row>
    <row r="208" spans="1:25" ht="21.75" customHeight="1" hidden="1" outlineLevel="1">
      <c r="A208" s="80" t="s">
        <v>193</v>
      </c>
      <c r="B208" s="99"/>
      <c r="C208" s="102"/>
      <c r="D208" s="102"/>
      <c r="E208" s="102"/>
      <c r="F208" s="16" t="s">
        <v>14</v>
      </c>
      <c r="G208" s="26">
        <f>H208+I208+J208+K208+L208</f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82"/>
      <c r="O208" s="3"/>
      <c r="Y208" s="15"/>
    </row>
    <row r="209" spans="1:25" ht="21.75" customHeight="1" hidden="1" outlineLevel="1">
      <c r="A209" s="78"/>
      <c r="B209" s="100"/>
      <c r="C209" s="102"/>
      <c r="D209" s="106"/>
      <c r="E209" s="106"/>
      <c r="F209" s="16" t="s">
        <v>15</v>
      </c>
      <c r="G209" s="26">
        <f>H209+I209+J209+K209+L209</f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82"/>
      <c r="O209" s="3"/>
      <c r="Y209" s="15"/>
    </row>
    <row r="210" spans="1:13" ht="21.75" customHeight="1" collapsed="1">
      <c r="A210" s="107" t="s">
        <v>62</v>
      </c>
      <c r="B210" s="110" t="s">
        <v>148</v>
      </c>
      <c r="C210" s="113" t="s">
        <v>125</v>
      </c>
      <c r="D210" s="134" t="s">
        <v>142</v>
      </c>
      <c r="E210" s="113" t="s">
        <v>106</v>
      </c>
      <c r="F210" s="39" t="s">
        <v>12</v>
      </c>
      <c r="G210" s="40">
        <f aca="true" t="shared" si="57" ref="G210:L210">G211+G212+G213</f>
        <v>24117512.549999997</v>
      </c>
      <c r="H210" s="40">
        <f t="shared" si="57"/>
        <v>1942784.25</v>
      </c>
      <c r="I210" s="40">
        <f t="shared" si="57"/>
        <v>4335490.64</v>
      </c>
      <c r="J210" s="40">
        <f t="shared" si="57"/>
        <v>8100412.56</v>
      </c>
      <c r="K210" s="40">
        <f t="shared" si="57"/>
        <v>4869412.54</v>
      </c>
      <c r="L210" s="40">
        <f t="shared" si="57"/>
        <v>4869412.56</v>
      </c>
      <c r="M210" s="126"/>
    </row>
    <row r="211" spans="1:13" ht="21.75" customHeight="1">
      <c r="A211" s="108"/>
      <c r="B211" s="111"/>
      <c r="C211" s="114"/>
      <c r="D211" s="114"/>
      <c r="E211" s="114"/>
      <c r="F211" s="39" t="s">
        <v>13</v>
      </c>
      <c r="G211" s="40">
        <f>H211+I211+J211+K211+L211</f>
        <v>6965314.18</v>
      </c>
      <c r="H211" s="40">
        <f aca="true" t="shared" si="58" ref="H211:I213">H215+H219+H223+H231+H227</f>
        <v>1742784.25</v>
      </c>
      <c r="I211" s="40">
        <f>I215+I219+I223+I231+I227</f>
        <v>722529.9299999999</v>
      </c>
      <c r="J211" s="40">
        <f aca="true" t="shared" si="59" ref="J211:L213">J215+J219+J223+J231+J227</f>
        <v>3500000</v>
      </c>
      <c r="K211" s="40">
        <f t="shared" si="59"/>
        <v>500000</v>
      </c>
      <c r="L211" s="40">
        <f t="shared" si="59"/>
        <v>500000</v>
      </c>
      <c r="M211" s="127"/>
    </row>
    <row r="212" spans="1:13" ht="21.75" customHeight="1">
      <c r="A212" s="108"/>
      <c r="B212" s="111"/>
      <c r="C212" s="114"/>
      <c r="D212" s="114"/>
      <c r="E212" s="114"/>
      <c r="F212" s="39" t="s">
        <v>14</v>
      </c>
      <c r="G212" s="40">
        <f>H212+I212+J212+K212+L212</f>
        <v>17152198.369999997</v>
      </c>
      <c r="H212" s="40">
        <f t="shared" si="58"/>
        <v>200000</v>
      </c>
      <c r="I212" s="40">
        <f t="shared" si="58"/>
        <v>3612960.71</v>
      </c>
      <c r="J212" s="40">
        <f t="shared" si="59"/>
        <v>4600412.56</v>
      </c>
      <c r="K212" s="40">
        <f t="shared" si="59"/>
        <v>4369412.54</v>
      </c>
      <c r="L212" s="40">
        <f t="shared" si="59"/>
        <v>4369412.56</v>
      </c>
      <c r="M212" s="127"/>
    </row>
    <row r="213" spans="1:13" ht="21.75" customHeight="1">
      <c r="A213" s="109"/>
      <c r="B213" s="112"/>
      <c r="C213" s="115"/>
      <c r="D213" s="115"/>
      <c r="E213" s="115"/>
      <c r="F213" s="39" t="s">
        <v>15</v>
      </c>
      <c r="G213" s="40">
        <f>H213+I213+J213+K213+L213</f>
        <v>0</v>
      </c>
      <c r="H213" s="40">
        <f t="shared" si="58"/>
        <v>0</v>
      </c>
      <c r="I213" s="40">
        <f t="shared" si="58"/>
        <v>0</v>
      </c>
      <c r="J213" s="40">
        <f t="shared" si="59"/>
        <v>0</v>
      </c>
      <c r="K213" s="40">
        <f t="shared" si="59"/>
        <v>0</v>
      </c>
      <c r="L213" s="40">
        <f t="shared" si="59"/>
        <v>0</v>
      </c>
      <c r="M213" s="128"/>
    </row>
    <row r="214" spans="1:13" ht="21.75" customHeight="1">
      <c r="A214" s="116" t="s">
        <v>63</v>
      </c>
      <c r="B214" s="98" t="s">
        <v>64</v>
      </c>
      <c r="C214" s="101" t="s">
        <v>125</v>
      </c>
      <c r="D214" s="103" t="s">
        <v>128</v>
      </c>
      <c r="E214" s="101" t="s">
        <v>106</v>
      </c>
      <c r="F214" s="16" t="s">
        <v>12</v>
      </c>
      <c r="G214" s="26">
        <f aca="true" t="shared" si="60" ref="G214:L214">G215+G216+G217</f>
        <v>4667221.3</v>
      </c>
      <c r="H214" s="26">
        <f t="shared" si="60"/>
        <v>1426776.79</v>
      </c>
      <c r="I214" s="26">
        <f t="shared" si="60"/>
        <v>0</v>
      </c>
      <c r="J214" s="26">
        <f t="shared" si="60"/>
        <v>3100068.51</v>
      </c>
      <c r="K214" s="26">
        <f t="shared" si="60"/>
        <v>70188</v>
      </c>
      <c r="L214" s="26">
        <f t="shared" si="60"/>
        <v>70188</v>
      </c>
      <c r="M214" s="129" t="s">
        <v>206</v>
      </c>
    </row>
    <row r="215" spans="1:13" ht="21.75" customHeight="1">
      <c r="A215" s="117"/>
      <c r="B215" s="99"/>
      <c r="C215" s="102"/>
      <c r="D215" s="104"/>
      <c r="E215" s="102"/>
      <c r="F215" s="16" t="s">
        <v>13</v>
      </c>
      <c r="G215" s="26">
        <f>H215+I215+J215+K215+L215</f>
        <v>4667221.3</v>
      </c>
      <c r="H215" s="26">
        <f>76776.79+1000000+350000</f>
        <v>1426776.79</v>
      </c>
      <c r="I215" s="26">
        <v>0</v>
      </c>
      <c r="J215" s="26">
        <f>70188+3000000+29880.51</f>
        <v>3100068.51</v>
      </c>
      <c r="K215" s="26">
        <v>70188</v>
      </c>
      <c r="L215" s="26">
        <v>70188</v>
      </c>
      <c r="M215" s="130"/>
    </row>
    <row r="216" spans="1:13" ht="21.75" customHeight="1">
      <c r="A216" s="117"/>
      <c r="B216" s="99"/>
      <c r="C216" s="102"/>
      <c r="D216" s="104"/>
      <c r="E216" s="102"/>
      <c r="F216" s="16" t="s">
        <v>14</v>
      </c>
      <c r="G216" s="26">
        <f>H216+I216+J216+K216+L216</f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130"/>
    </row>
    <row r="217" spans="1:13" ht="21.75" customHeight="1">
      <c r="A217" s="118"/>
      <c r="B217" s="100"/>
      <c r="C217" s="102"/>
      <c r="D217" s="105"/>
      <c r="E217" s="106"/>
      <c r="F217" s="16" t="s">
        <v>15</v>
      </c>
      <c r="G217" s="26">
        <f>H217+I217+J217+K217+L217</f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130"/>
    </row>
    <row r="218" spans="1:13" ht="21.75" customHeight="1">
      <c r="A218" s="116" t="s">
        <v>65</v>
      </c>
      <c r="B218" s="98" t="s">
        <v>66</v>
      </c>
      <c r="C218" s="101" t="s">
        <v>125</v>
      </c>
      <c r="D218" s="103" t="s">
        <v>142</v>
      </c>
      <c r="E218" s="101" t="s">
        <v>106</v>
      </c>
      <c r="F218" s="16" t="s">
        <v>12</v>
      </c>
      <c r="G218" s="26">
        <f aca="true" t="shared" si="61" ref="G218:L218">G219+G220+G221</f>
        <v>1341837.88</v>
      </c>
      <c r="H218" s="26">
        <f t="shared" si="61"/>
        <v>199970.46</v>
      </c>
      <c r="I218" s="26">
        <f t="shared" si="61"/>
        <v>422529.93</v>
      </c>
      <c r="J218" s="26">
        <f t="shared" si="61"/>
        <v>289931.49</v>
      </c>
      <c r="K218" s="26">
        <f t="shared" si="61"/>
        <v>214703</v>
      </c>
      <c r="L218" s="26">
        <f t="shared" si="61"/>
        <v>214703</v>
      </c>
      <c r="M218" s="130"/>
    </row>
    <row r="219" spans="1:13" ht="21.75" customHeight="1">
      <c r="A219" s="117"/>
      <c r="B219" s="99"/>
      <c r="C219" s="102"/>
      <c r="D219" s="104"/>
      <c r="E219" s="102"/>
      <c r="F219" s="16" t="s">
        <v>13</v>
      </c>
      <c r="G219" s="26">
        <f>H219+I219+J219+K219+L219</f>
        <v>1341837.88</v>
      </c>
      <c r="H219" s="26">
        <f>190170.46+9800</f>
        <v>199970.46</v>
      </c>
      <c r="I219" s="26">
        <v>422529.93</v>
      </c>
      <c r="J219" s="26">
        <v>289931.49</v>
      </c>
      <c r="K219" s="26">
        <v>214703</v>
      </c>
      <c r="L219" s="26">
        <v>214703</v>
      </c>
      <c r="M219" s="130"/>
    </row>
    <row r="220" spans="1:13" ht="21.75" customHeight="1">
      <c r="A220" s="117"/>
      <c r="B220" s="99"/>
      <c r="C220" s="102"/>
      <c r="D220" s="104"/>
      <c r="E220" s="102"/>
      <c r="F220" s="16" t="s">
        <v>14</v>
      </c>
      <c r="G220" s="26">
        <f>H220+I220+J220+K220+L220</f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130"/>
    </row>
    <row r="221" spans="1:13" ht="21.75" customHeight="1">
      <c r="A221" s="118"/>
      <c r="B221" s="100"/>
      <c r="C221" s="102"/>
      <c r="D221" s="105"/>
      <c r="E221" s="106"/>
      <c r="F221" s="16" t="s">
        <v>15</v>
      </c>
      <c r="G221" s="26">
        <f>H221+I221+J221+K221+L221</f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130"/>
    </row>
    <row r="222" spans="1:13" ht="21.75" customHeight="1">
      <c r="A222" s="116" t="s">
        <v>67</v>
      </c>
      <c r="B222" s="98" t="s">
        <v>109</v>
      </c>
      <c r="C222" s="101" t="s">
        <v>125</v>
      </c>
      <c r="D222" s="101"/>
      <c r="E222" s="101" t="s">
        <v>106</v>
      </c>
      <c r="F222" s="16" t="s">
        <v>12</v>
      </c>
      <c r="G222" s="26">
        <f aca="true" t="shared" si="62" ref="G222:L222">G223+G224+G225</f>
        <v>0</v>
      </c>
      <c r="H222" s="26">
        <f t="shared" si="62"/>
        <v>0</v>
      </c>
      <c r="I222" s="26">
        <f t="shared" si="62"/>
        <v>0</v>
      </c>
      <c r="J222" s="26">
        <f t="shared" si="62"/>
        <v>0</v>
      </c>
      <c r="K222" s="26">
        <f t="shared" si="62"/>
        <v>0</v>
      </c>
      <c r="L222" s="26">
        <f t="shared" si="62"/>
        <v>0</v>
      </c>
      <c r="M222" s="130"/>
    </row>
    <row r="223" spans="1:13" ht="21.75" customHeight="1">
      <c r="A223" s="117"/>
      <c r="B223" s="99"/>
      <c r="C223" s="102"/>
      <c r="D223" s="102"/>
      <c r="E223" s="102"/>
      <c r="F223" s="16" t="s">
        <v>13</v>
      </c>
      <c r="G223" s="26">
        <f>H223+I223+J223+K223+L223</f>
        <v>0</v>
      </c>
      <c r="H223" s="26">
        <v>0</v>
      </c>
      <c r="I223" s="26">
        <v>0</v>
      </c>
      <c r="J223" s="26">
        <v>0</v>
      </c>
      <c r="K223" s="26"/>
      <c r="L223" s="26">
        <v>0</v>
      </c>
      <c r="M223" s="130"/>
    </row>
    <row r="224" spans="1:13" ht="21.75" customHeight="1">
      <c r="A224" s="117"/>
      <c r="B224" s="99"/>
      <c r="C224" s="102"/>
      <c r="D224" s="102"/>
      <c r="E224" s="102"/>
      <c r="F224" s="16" t="s">
        <v>14</v>
      </c>
      <c r="G224" s="26">
        <f>H224+I224+J224+K224+L224</f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130"/>
    </row>
    <row r="225" spans="1:13" ht="21.75" customHeight="1">
      <c r="A225" s="118"/>
      <c r="B225" s="100"/>
      <c r="C225" s="102"/>
      <c r="D225" s="106"/>
      <c r="E225" s="106"/>
      <c r="F225" s="16" t="s">
        <v>15</v>
      </c>
      <c r="G225" s="26">
        <f>H225+I225+J225+K225+L225</f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130"/>
    </row>
    <row r="226" spans="1:13" ht="21.75" customHeight="1">
      <c r="A226" s="78"/>
      <c r="B226" s="98" t="s">
        <v>104</v>
      </c>
      <c r="C226" s="101" t="s">
        <v>125</v>
      </c>
      <c r="D226" s="103" t="s">
        <v>127</v>
      </c>
      <c r="E226" s="101" t="s">
        <v>106</v>
      </c>
      <c r="F226" s="16" t="s">
        <v>12</v>
      </c>
      <c r="G226" s="26">
        <f aca="true" t="shared" si="63" ref="G226:L226">G227+G228+G229</f>
        <v>1477255</v>
      </c>
      <c r="H226" s="26">
        <f t="shared" si="63"/>
        <v>316037</v>
      </c>
      <c r="I226" s="26">
        <f t="shared" si="63"/>
        <v>390000</v>
      </c>
      <c r="J226" s="26">
        <f t="shared" si="63"/>
        <v>341000</v>
      </c>
      <c r="K226" s="26">
        <f t="shared" si="63"/>
        <v>215109</v>
      </c>
      <c r="L226" s="26">
        <f t="shared" si="63"/>
        <v>215109</v>
      </c>
      <c r="M226" s="130"/>
    </row>
    <row r="227" spans="1:13" ht="21.75" customHeight="1">
      <c r="A227" s="80" t="s">
        <v>102</v>
      </c>
      <c r="B227" s="99"/>
      <c r="C227" s="102"/>
      <c r="D227" s="104"/>
      <c r="E227" s="102"/>
      <c r="F227" s="16" t="s">
        <v>13</v>
      </c>
      <c r="G227" s="26">
        <f>H227+I227+J227+K227+L227</f>
        <v>756255</v>
      </c>
      <c r="H227" s="26">
        <v>116037</v>
      </c>
      <c r="I227" s="26">
        <f>157703.92-57703.92</f>
        <v>100000.00000000001</v>
      </c>
      <c r="J227" s="26">
        <v>110000</v>
      </c>
      <c r="K227" s="26">
        <v>215109</v>
      </c>
      <c r="L227" s="26">
        <v>215109</v>
      </c>
      <c r="M227" s="130"/>
    </row>
    <row r="228" spans="1:13" ht="21.75" customHeight="1">
      <c r="A228" s="78"/>
      <c r="B228" s="99"/>
      <c r="C228" s="102"/>
      <c r="D228" s="104"/>
      <c r="E228" s="102"/>
      <c r="F228" s="16" t="s">
        <v>14</v>
      </c>
      <c r="G228" s="26">
        <f>H228+I228+J228+K228+L228</f>
        <v>721000</v>
      </c>
      <c r="H228" s="26">
        <v>200000</v>
      </c>
      <c r="I228" s="26">
        <v>290000</v>
      </c>
      <c r="J228" s="26">
        <v>231000</v>
      </c>
      <c r="K228" s="26">
        <v>0</v>
      </c>
      <c r="L228" s="26">
        <v>0</v>
      </c>
      <c r="M228" s="130"/>
    </row>
    <row r="229" spans="1:13" ht="21.75" customHeight="1">
      <c r="A229" s="78"/>
      <c r="B229" s="100"/>
      <c r="C229" s="102"/>
      <c r="D229" s="105"/>
      <c r="E229" s="106"/>
      <c r="F229" s="16" t="s">
        <v>15</v>
      </c>
      <c r="G229" s="26">
        <f>H229+I229+J229+K229+L229</f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130"/>
    </row>
    <row r="230" spans="1:13" ht="21.75" customHeight="1">
      <c r="A230" s="116" t="s">
        <v>103</v>
      </c>
      <c r="B230" s="98" t="s">
        <v>78</v>
      </c>
      <c r="C230" s="101" t="s">
        <v>125</v>
      </c>
      <c r="D230" s="103" t="s">
        <v>141</v>
      </c>
      <c r="E230" s="101" t="s">
        <v>106</v>
      </c>
      <c r="F230" s="16" t="s">
        <v>12</v>
      </c>
      <c r="G230" s="26">
        <f aca="true" t="shared" si="64" ref="G230:L230">G231+G232+G233</f>
        <v>16631198.369999997</v>
      </c>
      <c r="H230" s="26">
        <f t="shared" si="64"/>
        <v>0</v>
      </c>
      <c r="I230" s="26">
        <f t="shared" si="64"/>
        <v>3522960.71</v>
      </c>
      <c r="J230" s="26">
        <f t="shared" si="64"/>
        <v>4369412.56</v>
      </c>
      <c r="K230" s="26">
        <f t="shared" si="64"/>
        <v>4369412.54</v>
      </c>
      <c r="L230" s="26">
        <f t="shared" si="64"/>
        <v>4369412.56</v>
      </c>
      <c r="M230" s="130"/>
    </row>
    <row r="231" spans="1:13" ht="21.75" customHeight="1">
      <c r="A231" s="117"/>
      <c r="B231" s="99"/>
      <c r="C231" s="102"/>
      <c r="D231" s="104"/>
      <c r="E231" s="102"/>
      <c r="F231" s="16" t="s">
        <v>13</v>
      </c>
      <c r="G231" s="26">
        <f>H231+I231+J231+K231+L231</f>
        <v>200000</v>
      </c>
      <c r="H231" s="26">
        <v>0</v>
      </c>
      <c r="I231" s="26">
        <f>200000+572400-572400</f>
        <v>200000</v>
      </c>
      <c r="J231" s="26">
        <v>0</v>
      </c>
      <c r="K231" s="26">
        <v>0</v>
      </c>
      <c r="L231" s="26">
        <v>0</v>
      </c>
      <c r="M231" s="130"/>
    </row>
    <row r="232" spans="1:13" ht="21.75" customHeight="1">
      <c r="A232" s="117"/>
      <c r="B232" s="99"/>
      <c r="C232" s="102"/>
      <c r="D232" s="104"/>
      <c r="E232" s="102"/>
      <c r="F232" s="16" t="s">
        <v>14</v>
      </c>
      <c r="G232" s="26">
        <f>H232+I232+J232+K232+L232</f>
        <v>16431198.369999997</v>
      </c>
      <c r="H232" s="26">
        <v>0</v>
      </c>
      <c r="I232" s="26">
        <f>4922960.71-1600000</f>
        <v>3322960.71</v>
      </c>
      <c r="J232" s="26">
        <v>4369412.56</v>
      </c>
      <c r="K232" s="26">
        <v>4369412.54</v>
      </c>
      <c r="L232" s="26">
        <v>4369412.56</v>
      </c>
      <c r="M232" s="130"/>
    </row>
    <row r="233" spans="1:13" ht="21.75" customHeight="1">
      <c r="A233" s="118"/>
      <c r="B233" s="100"/>
      <c r="C233" s="102"/>
      <c r="D233" s="105"/>
      <c r="E233" s="106"/>
      <c r="F233" s="16" t="s">
        <v>15</v>
      </c>
      <c r="G233" s="26">
        <f>H233+I233+J233+K233+L233</f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130"/>
    </row>
    <row r="234" spans="1:13" ht="21.75" customHeight="1">
      <c r="A234" s="107" t="s">
        <v>68</v>
      </c>
      <c r="B234" s="110" t="s">
        <v>149</v>
      </c>
      <c r="C234" s="113" t="s">
        <v>125</v>
      </c>
      <c r="D234" s="123" t="s">
        <v>126</v>
      </c>
      <c r="E234" s="113" t="s">
        <v>106</v>
      </c>
      <c r="F234" s="39" t="s">
        <v>12</v>
      </c>
      <c r="G234" s="40">
        <f aca="true" t="shared" si="65" ref="G234:L234">G235+G236+G237</f>
        <v>2827578.61</v>
      </c>
      <c r="H234" s="40">
        <f t="shared" si="65"/>
        <v>600000</v>
      </c>
      <c r="I234" s="40">
        <f t="shared" si="65"/>
        <v>557000</v>
      </c>
      <c r="J234" s="40">
        <f t="shared" si="65"/>
        <v>556578.61</v>
      </c>
      <c r="K234" s="40">
        <f t="shared" si="65"/>
        <v>557000</v>
      </c>
      <c r="L234" s="40">
        <f t="shared" si="65"/>
        <v>557000</v>
      </c>
      <c r="M234" s="126"/>
    </row>
    <row r="235" spans="1:13" ht="21.75" customHeight="1">
      <c r="A235" s="108"/>
      <c r="B235" s="111"/>
      <c r="C235" s="114"/>
      <c r="D235" s="124"/>
      <c r="E235" s="114"/>
      <c r="F235" s="39" t="s">
        <v>13</v>
      </c>
      <c r="G235" s="40">
        <f>H235+I235+J235+K235+L235</f>
        <v>2827578.61</v>
      </c>
      <c r="H235" s="40">
        <f>H239+H251+H259+H263+H243+H247+H255</f>
        <v>600000</v>
      </c>
      <c r="I235" s="40">
        <f>I239+I251+I259+I263+I243+I247+I255</f>
        <v>557000</v>
      </c>
      <c r="J235" s="40">
        <f>J239+J251+J259+J263+J243+J247+J255</f>
        <v>556578.61</v>
      </c>
      <c r="K235" s="40">
        <f>K239+K251+K259+K263+K243+K247+K255</f>
        <v>557000</v>
      </c>
      <c r="L235" s="40">
        <f>L239+L251+L259+L263+L243+L247+L255</f>
        <v>557000</v>
      </c>
      <c r="M235" s="127"/>
    </row>
    <row r="236" spans="1:13" ht="21.75" customHeight="1">
      <c r="A236" s="108"/>
      <c r="B236" s="111"/>
      <c r="C236" s="114"/>
      <c r="D236" s="124"/>
      <c r="E236" s="114"/>
      <c r="F236" s="39" t="s">
        <v>14</v>
      </c>
      <c r="G236" s="40">
        <f>H236+I236+J236+K236+L236</f>
        <v>0</v>
      </c>
      <c r="H236" s="40">
        <f aca="true" t="shared" si="66" ref="H236:L237">H240+H252+H260+H264+H244+H248+H256</f>
        <v>0</v>
      </c>
      <c r="I236" s="40">
        <f t="shared" si="66"/>
        <v>0</v>
      </c>
      <c r="J236" s="40">
        <f t="shared" si="66"/>
        <v>0</v>
      </c>
      <c r="K236" s="40">
        <f t="shared" si="66"/>
        <v>0</v>
      </c>
      <c r="L236" s="40">
        <f t="shared" si="66"/>
        <v>0</v>
      </c>
      <c r="M236" s="127"/>
    </row>
    <row r="237" spans="1:13" ht="21.75" customHeight="1">
      <c r="A237" s="109"/>
      <c r="B237" s="112"/>
      <c r="C237" s="115"/>
      <c r="D237" s="125"/>
      <c r="E237" s="115"/>
      <c r="F237" s="39" t="s">
        <v>15</v>
      </c>
      <c r="G237" s="40">
        <f>H237+I237+J237+K237+L237</f>
        <v>0</v>
      </c>
      <c r="H237" s="40">
        <f t="shared" si="66"/>
        <v>0</v>
      </c>
      <c r="I237" s="40">
        <f t="shared" si="66"/>
        <v>0</v>
      </c>
      <c r="J237" s="40">
        <f t="shared" si="66"/>
        <v>0</v>
      </c>
      <c r="K237" s="40">
        <f t="shared" si="66"/>
        <v>0</v>
      </c>
      <c r="L237" s="40">
        <f t="shared" si="66"/>
        <v>0</v>
      </c>
      <c r="M237" s="128"/>
    </row>
    <row r="238" spans="1:13" ht="21.75" customHeight="1">
      <c r="A238" s="116" t="s">
        <v>69</v>
      </c>
      <c r="B238" s="98" t="s">
        <v>114</v>
      </c>
      <c r="C238" s="101" t="s">
        <v>125</v>
      </c>
      <c r="D238" s="119" t="s">
        <v>124</v>
      </c>
      <c r="E238" s="101" t="s">
        <v>106</v>
      </c>
      <c r="F238" s="16" t="s">
        <v>12</v>
      </c>
      <c r="G238" s="26">
        <f aca="true" t="shared" si="67" ref="G238:L238">G239+G240+G241</f>
        <v>1038749.8</v>
      </c>
      <c r="H238" s="26">
        <f t="shared" si="67"/>
        <v>235000</v>
      </c>
      <c r="I238" s="26">
        <f t="shared" si="67"/>
        <v>197749.8</v>
      </c>
      <c r="J238" s="26">
        <f t="shared" si="67"/>
        <v>202000</v>
      </c>
      <c r="K238" s="26">
        <f t="shared" si="67"/>
        <v>202000</v>
      </c>
      <c r="L238" s="26">
        <f t="shared" si="67"/>
        <v>202000</v>
      </c>
      <c r="M238" s="82"/>
    </row>
    <row r="239" spans="1:13" ht="21.75" customHeight="1">
      <c r="A239" s="117"/>
      <c r="B239" s="99"/>
      <c r="C239" s="102"/>
      <c r="D239" s="120"/>
      <c r="E239" s="102"/>
      <c r="F239" s="16" t="s">
        <v>13</v>
      </c>
      <c r="G239" s="26">
        <f>H239+I239+J239+K239+L239</f>
        <v>1038749.8</v>
      </c>
      <c r="H239" s="26">
        <v>235000</v>
      </c>
      <c r="I239" s="26">
        <f>252000-I251-4250.2</f>
        <v>197749.8</v>
      </c>
      <c r="J239" s="26">
        <v>202000</v>
      </c>
      <c r="K239" s="26">
        <v>202000</v>
      </c>
      <c r="L239" s="26">
        <v>202000</v>
      </c>
      <c r="M239" s="82"/>
    </row>
    <row r="240" spans="1:13" ht="21.75" customHeight="1">
      <c r="A240" s="117"/>
      <c r="B240" s="99"/>
      <c r="C240" s="102"/>
      <c r="D240" s="120"/>
      <c r="E240" s="102"/>
      <c r="F240" s="16" t="s">
        <v>14</v>
      </c>
      <c r="G240" s="26">
        <f>H240+I240+J240+K240+L240</f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82"/>
    </row>
    <row r="241" spans="1:13" ht="21.75" customHeight="1">
      <c r="A241" s="118"/>
      <c r="B241" s="100"/>
      <c r="C241" s="102"/>
      <c r="D241" s="121"/>
      <c r="E241" s="106"/>
      <c r="F241" s="16" t="s">
        <v>15</v>
      </c>
      <c r="G241" s="26">
        <f>H241+I241+J241+K241+L241</f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82"/>
    </row>
    <row r="242" spans="1:13" ht="21.75" customHeight="1">
      <c r="A242" s="101" t="s">
        <v>71</v>
      </c>
      <c r="B242" s="98" t="s">
        <v>115</v>
      </c>
      <c r="C242" s="101" t="s">
        <v>125</v>
      </c>
      <c r="D242" s="119" t="s">
        <v>126</v>
      </c>
      <c r="E242" s="101" t="s">
        <v>106</v>
      </c>
      <c r="F242" s="16" t="s">
        <v>12</v>
      </c>
      <c r="G242" s="26">
        <f aca="true" t="shared" si="68" ref="G242:L242">G243+G244+G245</f>
        <v>548828.81</v>
      </c>
      <c r="H242" s="26">
        <f t="shared" si="68"/>
        <v>125000</v>
      </c>
      <c r="I242" s="26">
        <f t="shared" si="68"/>
        <v>109250.2</v>
      </c>
      <c r="J242" s="26">
        <f t="shared" si="68"/>
        <v>104578.61</v>
      </c>
      <c r="K242" s="26">
        <f t="shared" si="68"/>
        <v>105000</v>
      </c>
      <c r="L242" s="26">
        <f t="shared" si="68"/>
        <v>105000</v>
      </c>
      <c r="M242" s="82"/>
    </row>
    <row r="243" spans="1:13" ht="21.75" customHeight="1">
      <c r="A243" s="102"/>
      <c r="B243" s="99"/>
      <c r="C243" s="102"/>
      <c r="D243" s="120"/>
      <c r="E243" s="102"/>
      <c r="F243" s="16" t="s">
        <v>13</v>
      </c>
      <c r="G243" s="26">
        <f>H243+I243+J243+K243+L243</f>
        <v>548828.81</v>
      </c>
      <c r="H243" s="26">
        <v>125000</v>
      </c>
      <c r="I243" s="26">
        <f>105000+4250.2</f>
        <v>109250.2</v>
      </c>
      <c r="J243" s="26">
        <f>105000-421.39</f>
        <v>104578.61</v>
      </c>
      <c r="K243" s="26">
        <v>105000</v>
      </c>
      <c r="L243" s="26">
        <v>105000</v>
      </c>
      <c r="M243" s="82"/>
    </row>
    <row r="244" spans="1:13" ht="21.75" customHeight="1">
      <c r="A244" s="102"/>
      <c r="B244" s="99"/>
      <c r="C244" s="102"/>
      <c r="D244" s="120"/>
      <c r="E244" s="102"/>
      <c r="F244" s="16" t="s">
        <v>14</v>
      </c>
      <c r="G244" s="26">
        <f>H244+I244+J244+K244+L244</f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82"/>
    </row>
    <row r="245" spans="1:13" ht="21.75" customHeight="1">
      <c r="A245" s="106"/>
      <c r="B245" s="100"/>
      <c r="C245" s="102"/>
      <c r="D245" s="121"/>
      <c r="E245" s="106"/>
      <c r="F245" s="16" t="s">
        <v>15</v>
      </c>
      <c r="G245" s="26">
        <f>H245+I245+J245+K245+L245</f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82"/>
    </row>
    <row r="246" spans="1:13" ht="21.75" customHeight="1">
      <c r="A246" s="101" t="s">
        <v>72</v>
      </c>
      <c r="B246" s="98" t="s">
        <v>111</v>
      </c>
      <c r="C246" s="101" t="s">
        <v>125</v>
      </c>
      <c r="D246" s="119" t="s">
        <v>124</v>
      </c>
      <c r="E246" s="101" t="s">
        <v>106</v>
      </c>
      <c r="F246" s="16" t="s">
        <v>12</v>
      </c>
      <c r="G246" s="26">
        <f aca="true" t="shared" si="69" ref="G246:L246">G247+G248+G249</f>
        <v>1000000</v>
      </c>
      <c r="H246" s="26">
        <f t="shared" si="69"/>
        <v>200000</v>
      </c>
      <c r="I246" s="26">
        <f t="shared" si="69"/>
        <v>200000</v>
      </c>
      <c r="J246" s="26">
        <f t="shared" si="69"/>
        <v>200000</v>
      </c>
      <c r="K246" s="26">
        <f t="shared" si="69"/>
        <v>200000</v>
      </c>
      <c r="L246" s="26">
        <f t="shared" si="69"/>
        <v>200000</v>
      </c>
      <c r="M246" s="82"/>
    </row>
    <row r="247" spans="1:13" ht="21.75" customHeight="1">
      <c r="A247" s="102"/>
      <c r="B247" s="99"/>
      <c r="C247" s="102"/>
      <c r="D247" s="120"/>
      <c r="E247" s="102"/>
      <c r="F247" s="16" t="s">
        <v>13</v>
      </c>
      <c r="G247" s="26">
        <f>H247+I247+J247+K247+L247</f>
        <v>1000000</v>
      </c>
      <c r="H247" s="26">
        <v>200000</v>
      </c>
      <c r="I247" s="26">
        <v>200000</v>
      </c>
      <c r="J247" s="26">
        <v>200000</v>
      </c>
      <c r="K247" s="26">
        <v>200000</v>
      </c>
      <c r="L247" s="26">
        <v>200000</v>
      </c>
      <c r="M247" s="82"/>
    </row>
    <row r="248" spans="1:13" ht="21.75" customHeight="1">
      <c r="A248" s="102"/>
      <c r="B248" s="99"/>
      <c r="C248" s="102"/>
      <c r="D248" s="120"/>
      <c r="E248" s="102"/>
      <c r="F248" s="16" t="s">
        <v>14</v>
      </c>
      <c r="G248" s="26">
        <f>H248+I248+J248+K248+L248</f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82"/>
    </row>
    <row r="249" spans="1:13" ht="21.75" customHeight="1">
      <c r="A249" s="106"/>
      <c r="B249" s="100"/>
      <c r="C249" s="102"/>
      <c r="D249" s="121"/>
      <c r="E249" s="106"/>
      <c r="F249" s="16" t="s">
        <v>15</v>
      </c>
      <c r="G249" s="26">
        <f>H249+I249+J249+K249+L249</f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82"/>
    </row>
    <row r="250" spans="1:13" ht="21.75" customHeight="1">
      <c r="A250" s="116" t="s">
        <v>73</v>
      </c>
      <c r="B250" s="98" t="s">
        <v>89</v>
      </c>
      <c r="C250" s="101" t="s">
        <v>125</v>
      </c>
      <c r="D250" s="119" t="s">
        <v>124</v>
      </c>
      <c r="E250" s="101" t="s">
        <v>106</v>
      </c>
      <c r="F250" s="16" t="s">
        <v>12</v>
      </c>
      <c r="G250" s="26">
        <f aca="true" t="shared" si="70" ref="G250:L250">G251+G252+G253</f>
        <v>240000</v>
      </c>
      <c r="H250" s="26">
        <f t="shared" si="70"/>
        <v>40000</v>
      </c>
      <c r="I250" s="26">
        <f t="shared" si="70"/>
        <v>50000</v>
      </c>
      <c r="J250" s="26">
        <f t="shared" si="70"/>
        <v>50000</v>
      </c>
      <c r="K250" s="26">
        <f t="shared" si="70"/>
        <v>50000</v>
      </c>
      <c r="L250" s="26">
        <f t="shared" si="70"/>
        <v>50000</v>
      </c>
      <c r="M250" s="82"/>
    </row>
    <row r="251" spans="1:13" ht="21.75" customHeight="1">
      <c r="A251" s="117"/>
      <c r="B251" s="99"/>
      <c r="C251" s="102"/>
      <c r="D251" s="120"/>
      <c r="E251" s="102"/>
      <c r="F251" s="16" t="s">
        <v>13</v>
      </c>
      <c r="G251" s="26">
        <f>H251+I251+J251+K251+L251</f>
        <v>240000</v>
      </c>
      <c r="H251" s="26">
        <v>40000</v>
      </c>
      <c r="I251" s="26">
        <v>50000</v>
      </c>
      <c r="J251" s="26">
        <v>50000</v>
      </c>
      <c r="K251" s="26">
        <v>50000</v>
      </c>
      <c r="L251" s="26">
        <v>50000</v>
      </c>
      <c r="M251" s="82"/>
    </row>
    <row r="252" spans="1:13" ht="21.75" customHeight="1">
      <c r="A252" s="117"/>
      <c r="B252" s="99"/>
      <c r="C252" s="102"/>
      <c r="D252" s="120"/>
      <c r="E252" s="102"/>
      <c r="F252" s="16" t="s">
        <v>14</v>
      </c>
      <c r="G252" s="26">
        <f>H252+I252+J252+K252+L252</f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82"/>
    </row>
    <row r="253" spans="1:13" ht="21.75" customHeight="1">
      <c r="A253" s="118"/>
      <c r="B253" s="100"/>
      <c r="C253" s="102"/>
      <c r="D253" s="121"/>
      <c r="E253" s="106"/>
      <c r="F253" s="16" t="s">
        <v>15</v>
      </c>
      <c r="G253" s="26">
        <f>H253+I253+J253+K253+L253</f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82"/>
    </row>
    <row r="254" spans="1:13" ht="21.75" customHeight="1" hidden="1" outlineLevel="1">
      <c r="A254" s="116" t="s">
        <v>85</v>
      </c>
      <c r="B254" s="98" t="s">
        <v>70</v>
      </c>
      <c r="C254" s="101" t="s">
        <v>125</v>
      </c>
      <c r="D254" s="101"/>
      <c r="E254" s="101" t="s">
        <v>106</v>
      </c>
      <c r="F254" s="16" t="s">
        <v>12</v>
      </c>
      <c r="G254" s="26">
        <f aca="true" t="shared" si="71" ref="G254:L254">G255+G256+G257</f>
        <v>0</v>
      </c>
      <c r="H254" s="26">
        <f t="shared" si="71"/>
        <v>0</v>
      </c>
      <c r="I254" s="26">
        <f t="shared" si="71"/>
        <v>0</v>
      </c>
      <c r="J254" s="26">
        <f t="shared" si="71"/>
        <v>0</v>
      </c>
      <c r="K254" s="26">
        <f t="shared" si="71"/>
        <v>0</v>
      </c>
      <c r="L254" s="26">
        <f t="shared" si="71"/>
        <v>0</v>
      </c>
      <c r="M254" s="82"/>
    </row>
    <row r="255" spans="1:13" ht="21.75" customHeight="1" hidden="1" outlineLevel="1">
      <c r="A255" s="117"/>
      <c r="B255" s="99"/>
      <c r="C255" s="102"/>
      <c r="D255" s="102"/>
      <c r="E255" s="102"/>
      <c r="F255" s="16" t="s">
        <v>13</v>
      </c>
      <c r="G255" s="26">
        <f>H255+I255+J255+K255+L255</f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82"/>
    </row>
    <row r="256" spans="1:13" ht="21.75" customHeight="1" hidden="1" outlineLevel="1">
      <c r="A256" s="117"/>
      <c r="B256" s="99"/>
      <c r="C256" s="102"/>
      <c r="D256" s="102"/>
      <c r="E256" s="102"/>
      <c r="F256" s="16" t="s">
        <v>14</v>
      </c>
      <c r="G256" s="26">
        <f>H256+I256+J256+K256+L256</f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82"/>
    </row>
    <row r="257" spans="1:13" ht="21.75" customHeight="1" hidden="1" outlineLevel="1">
      <c r="A257" s="118"/>
      <c r="B257" s="100"/>
      <c r="C257" s="102"/>
      <c r="D257" s="106"/>
      <c r="E257" s="106"/>
      <c r="F257" s="16" t="s">
        <v>15</v>
      </c>
      <c r="G257" s="26">
        <f>H257+I257+J257+K257+L257</f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82"/>
    </row>
    <row r="258" spans="1:13" ht="21.75" customHeight="1" hidden="1" outlineLevel="1">
      <c r="A258" s="116" t="s">
        <v>112</v>
      </c>
      <c r="B258" s="98" t="s">
        <v>91</v>
      </c>
      <c r="C258" s="101" t="s">
        <v>125</v>
      </c>
      <c r="D258" s="101"/>
      <c r="E258" s="101" t="s">
        <v>106</v>
      </c>
      <c r="F258" s="16" t="s">
        <v>12</v>
      </c>
      <c r="G258" s="26">
        <f aca="true" t="shared" si="72" ref="G258:L258">G259+G260+G261</f>
        <v>0</v>
      </c>
      <c r="H258" s="26">
        <f t="shared" si="72"/>
        <v>0</v>
      </c>
      <c r="I258" s="26">
        <f t="shared" si="72"/>
        <v>0</v>
      </c>
      <c r="J258" s="26">
        <f t="shared" si="72"/>
        <v>0</v>
      </c>
      <c r="K258" s="26">
        <f t="shared" si="72"/>
        <v>0</v>
      </c>
      <c r="L258" s="26">
        <f t="shared" si="72"/>
        <v>0</v>
      </c>
      <c r="M258" s="82"/>
    </row>
    <row r="259" spans="1:13" ht="21.75" customHeight="1" hidden="1" outlineLevel="1">
      <c r="A259" s="117"/>
      <c r="B259" s="99"/>
      <c r="C259" s="102"/>
      <c r="D259" s="102"/>
      <c r="E259" s="102"/>
      <c r="F259" s="16" t="s">
        <v>13</v>
      </c>
      <c r="G259" s="26">
        <f>H259+I259+J259+K259+L259</f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82"/>
    </row>
    <row r="260" spans="1:13" ht="21.75" customHeight="1" hidden="1" outlineLevel="1">
      <c r="A260" s="117"/>
      <c r="B260" s="99"/>
      <c r="C260" s="102"/>
      <c r="D260" s="102"/>
      <c r="E260" s="102"/>
      <c r="F260" s="16" t="s">
        <v>14</v>
      </c>
      <c r="G260" s="26">
        <f>H260+I260+J260+K260+L260</f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82"/>
    </row>
    <row r="261" spans="1:13" ht="21.75" customHeight="1" hidden="1" outlineLevel="1">
      <c r="A261" s="118"/>
      <c r="B261" s="100"/>
      <c r="C261" s="102"/>
      <c r="D261" s="106"/>
      <c r="E261" s="106"/>
      <c r="F261" s="16" t="s">
        <v>15</v>
      </c>
      <c r="G261" s="26">
        <f>H261+I261+J261+K261+L261</f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82"/>
    </row>
    <row r="262" spans="1:13" ht="21.75" customHeight="1" hidden="1" outlineLevel="1">
      <c r="A262" s="78"/>
      <c r="B262" s="98" t="s">
        <v>105</v>
      </c>
      <c r="C262" s="101" t="s">
        <v>125</v>
      </c>
      <c r="D262" s="101"/>
      <c r="E262" s="101" t="s">
        <v>106</v>
      </c>
      <c r="F262" s="16" t="s">
        <v>12</v>
      </c>
      <c r="G262" s="26">
        <f aca="true" t="shared" si="73" ref="G262:L262">G263+G264+G265</f>
        <v>0</v>
      </c>
      <c r="H262" s="26">
        <f t="shared" si="73"/>
        <v>0</v>
      </c>
      <c r="I262" s="26">
        <f t="shared" si="73"/>
        <v>0</v>
      </c>
      <c r="J262" s="26">
        <f t="shared" si="73"/>
        <v>0</v>
      </c>
      <c r="K262" s="26">
        <f t="shared" si="73"/>
        <v>0</v>
      </c>
      <c r="L262" s="26">
        <f t="shared" si="73"/>
        <v>0</v>
      </c>
      <c r="M262" s="82"/>
    </row>
    <row r="263" spans="1:13" ht="21.75" customHeight="1" hidden="1" outlineLevel="1">
      <c r="A263" s="78" t="s">
        <v>113</v>
      </c>
      <c r="B263" s="99"/>
      <c r="C263" s="102"/>
      <c r="D263" s="102"/>
      <c r="E263" s="102"/>
      <c r="F263" s="16" t="s">
        <v>13</v>
      </c>
      <c r="G263" s="27">
        <f>H263+I263+J263+K263+L263</f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82"/>
    </row>
    <row r="264" spans="1:13" ht="21.75" customHeight="1" hidden="1" outlineLevel="1">
      <c r="A264" s="78"/>
      <c r="B264" s="99"/>
      <c r="C264" s="102"/>
      <c r="D264" s="102"/>
      <c r="E264" s="102"/>
      <c r="F264" s="16" t="s">
        <v>14</v>
      </c>
      <c r="G264" s="27">
        <f>H264+I264+J264+K264+L264</f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82"/>
    </row>
    <row r="265" spans="1:13" ht="21.75" customHeight="1" hidden="1" outlineLevel="1">
      <c r="A265" s="78"/>
      <c r="B265" s="100"/>
      <c r="C265" s="102"/>
      <c r="D265" s="106"/>
      <c r="E265" s="106"/>
      <c r="F265" s="16" t="s">
        <v>15</v>
      </c>
      <c r="G265" s="27">
        <f>H265+I265+J265+K265+L265</f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122"/>
    </row>
    <row r="266" spans="1:13" ht="21.75" customHeight="1" collapsed="1">
      <c r="A266" s="107">
        <v>5</v>
      </c>
      <c r="B266" s="110" t="s">
        <v>152</v>
      </c>
      <c r="C266" s="113" t="s">
        <v>125</v>
      </c>
      <c r="D266" s="45"/>
      <c r="E266" s="113" t="s">
        <v>106</v>
      </c>
      <c r="F266" s="39" t="s">
        <v>12</v>
      </c>
      <c r="G266" s="40">
        <f aca="true" t="shared" si="74" ref="G266:L266">G267+G268+G269</f>
        <v>70520420.16</v>
      </c>
      <c r="H266" s="40">
        <f t="shared" si="74"/>
        <v>13370422.13</v>
      </c>
      <c r="I266" s="40">
        <f t="shared" si="74"/>
        <v>13699325.03</v>
      </c>
      <c r="J266" s="40">
        <f t="shared" si="74"/>
        <v>14738271</v>
      </c>
      <c r="K266" s="40">
        <f t="shared" si="74"/>
        <v>14288224</v>
      </c>
      <c r="L266" s="40">
        <f t="shared" si="74"/>
        <v>14424178</v>
      </c>
      <c r="M266" s="79"/>
    </row>
    <row r="267" spans="1:13" ht="21.75" customHeight="1">
      <c r="A267" s="108"/>
      <c r="B267" s="111"/>
      <c r="C267" s="114"/>
      <c r="D267" s="46"/>
      <c r="E267" s="114"/>
      <c r="F267" s="39" t="s">
        <v>13</v>
      </c>
      <c r="G267" s="40">
        <f>H267+I267+J267+K267+L267</f>
        <v>70520420.16</v>
      </c>
      <c r="H267" s="40">
        <f aca="true" t="shared" si="75" ref="H267:L269">H271</f>
        <v>13370422.13</v>
      </c>
      <c r="I267" s="40">
        <f t="shared" si="75"/>
        <v>13699325.03</v>
      </c>
      <c r="J267" s="40">
        <f t="shared" si="75"/>
        <v>14738271</v>
      </c>
      <c r="K267" s="40">
        <f t="shared" si="75"/>
        <v>14288224</v>
      </c>
      <c r="L267" s="40">
        <f t="shared" si="75"/>
        <v>14424178</v>
      </c>
      <c r="M267" s="79"/>
    </row>
    <row r="268" spans="1:13" ht="21.75" customHeight="1">
      <c r="A268" s="108"/>
      <c r="B268" s="111"/>
      <c r="C268" s="114"/>
      <c r="D268" s="46"/>
      <c r="E268" s="114"/>
      <c r="F268" s="39" t="s">
        <v>14</v>
      </c>
      <c r="G268" s="40">
        <f>H268+I268+J268+K268+L268</f>
        <v>0</v>
      </c>
      <c r="H268" s="40">
        <f t="shared" si="75"/>
        <v>0</v>
      </c>
      <c r="I268" s="40">
        <f t="shared" si="75"/>
        <v>0</v>
      </c>
      <c r="J268" s="40">
        <f t="shared" si="75"/>
        <v>0</v>
      </c>
      <c r="K268" s="40">
        <f t="shared" si="75"/>
        <v>0</v>
      </c>
      <c r="L268" s="40">
        <f t="shared" si="75"/>
        <v>0</v>
      </c>
      <c r="M268" s="79"/>
    </row>
    <row r="269" spans="1:13" ht="21.75" customHeight="1">
      <c r="A269" s="109"/>
      <c r="B269" s="112"/>
      <c r="C269" s="115"/>
      <c r="D269" s="47"/>
      <c r="E269" s="115"/>
      <c r="F269" s="39" t="s">
        <v>15</v>
      </c>
      <c r="G269" s="40">
        <f>H269+I269+J269+K269+L269</f>
        <v>0</v>
      </c>
      <c r="H269" s="40">
        <f t="shared" si="75"/>
        <v>0</v>
      </c>
      <c r="I269" s="40">
        <f t="shared" si="75"/>
        <v>0</v>
      </c>
      <c r="J269" s="40">
        <f t="shared" si="75"/>
        <v>0</v>
      </c>
      <c r="K269" s="40">
        <f t="shared" si="75"/>
        <v>0</v>
      </c>
      <c r="L269" s="40">
        <f t="shared" si="75"/>
        <v>0</v>
      </c>
      <c r="M269" s="79"/>
    </row>
    <row r="270" spans="1:13" ht="21.75" customHeight="1">
      <c r="A270" s="116" t="s">
        <v>74</v>
      </c>
      <c r="B270" s="98" t="s">
        <v>79</v>
      </c>
      <c r="C270" s="101" t="s">
        <v>125</v>
      </c>
      <c r="D270" s="101" t="s">
        <v>143</v>
      </c>
      <c r="E270" s="101" t="s">
        <v>106</v>
      </c>
      <c r="F270" s="16" t="s">
        <v>12</v>
      </c>
      <c r="G270" s="26">
        <f aca="true" t="shared" si="76" ref="G270:L270">G271+G272+G273</f>
        <v>70520420.16</v>
      </c>
      <c r="H270" s="26">
        <f t="shared" si="76"/>
        <v>13370422.13</v>
      </c>
      <c r="I270" s="26">
        <f t="shared" si="76"/>
        <v>13699325.03</v>
      </c>
      <c r="J270" s="26">
        <f t="shared" si="76"/>
        <v>14738271</v>
      </c>
      <c r="K270" s="26">
        <f t="shared" si="76"/>
        <v>14288224</v>
      </c>
      <c r="L270" s="26">
        <f t="shared" si="76"/>
        <v>14424178</v>
      </c>
      <c r="M270" s="81" t="s">
        <v>80</v>
      </c>
    </row>
    <row r="271" spans="1:13" ht="21.75" customHeight="1">
      <c r="A271" s="117"/>
      <c r="B271" s="99"/>
      <c r="C271" s="102"/>
      <c r="D271" s="102"/>
      <c r="E271" s="102"/>
      <c r="F271" s="16" t="s">
        <v>13</v>
      </c>
      <c r="G271" s="26">
        <f>H271+I271+J271+K271+L271</f>
        <v>70520420.16</v>
      </c>
      <c r="H271" s="26">
        <f>13390422.13-20000</f>
        <v>13370422.13</v>
      </c>
      <c r="I271" s="26">
        <v>13699325.03</v>
      </c>
      <c r="J271" s="26">
        <f>14153616+449044+135611</f>
        <v>14738271</v>
      </c>
      <c r="K271" s="26">
        <f>14288224</f>
        <v>14288224</v>
      </c>
      <c r="L271" s="26">
        <f>14424178</f>
        <v>14424178</v>
      </c>
      <c r="M271" s="82"/>
    </row>
    <row r="272" spans="1:13" ht="21.75" customHeight="1">
      <c r="A272" s="117"/>
      <c r="B272" s="99"/>
      <c r="C272" s="102"/>
      <c r="D272" s="102"/>
      <c r="E272" s="102"/>
      <c r="F272" s="16" t="s">
        <v>14</v>
      </c>
      <c r="G272" s="26">
        <f>H272+I272+J272+K272+L272</f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82"/>
    </row>
    <row r="273" spans="1:13" ht="21.75" customHeight="1">
      <c r="A273" s="118"/>
      <c r="B273" s="100"/>
      <c r="C273" s="106"/>
      <c r="D273" s="106"/>
      <c r="E273" s="106"/>
      <c r="F273" s="16" t="s">
        <v>15</v>
      </c>
      <c r="G273" s="26">
        <f>H273+I273+J273+K273+L273</f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82"/>
    </row>
    <row r="274" spans="1:13" ht="23.25" customHeight="1" hidden="1" outlineLevel="1">
      <c r="A274" s="107">
        <v>6</v>
      </c>
      <c r="B274" s="110" t="s">
        <v>205</v>
      </c>
      <c r="C274" s="113" t="s">
        <v>125</v>
      </c>
      <c r="D274" s="45"/>
      <c r="E274" s="113" t="s">
        <v>106</v>
      </c>
      <c r="F274" s="39" t="s">
        <v>12</v>
      </c>
      <c r="G274" s="40">
        <f aca="true" t="shared" si="77" ref="G274:L274">G275+G276+G277</f>
        <v>0</v>
      </c>
      <c r="H274" s="40">
        <f t="shared" si="77"/>
        <v>0</v>
      </c>
      <c r="I274" s="40">
        <f t="shared" si="77"/>
        <v>0</v>
      </c>
      <c r="J274" s="40">
        <f t="shared" si="77"/>
        <v>0</v>
      </c>
      <c r="K274" s="40">
        <f t="shared" si="77"/>
        <v>0</v>
      </c>
      <c r="L274" s="40">
        <f t="shared" si="77"/>
        <v>0</v>
      </c>
      <c r="M274" s="79"/>
    </row>
    <row r="275" spans="1:13" ht="23.25" customHeight="1" hidden="1" outlineLevel="1">
      <c r="A275" s="108"/>
      <c r="B275" s="178"/>
      <c r="C275" s="114"/>
      <c r="D275" s="46"/>
      <c r="E275" s="114"/>
      <c r="F275" s="39" t="s">
        <v>13</v>
      </c>
      <c r="G275" s="40">
        <f>H275+I275+J275+K275+L275</f>
        <v>0</v>
      </c>
      <c r="H275" s="40">
        <f aca="true" t="shared" si="78" ref="H275:L277">H279</f>
        <v>0</v>
      </c>
      <c r="I275" s="40">
        <f t="shared" si="78"/>
        <v>0</v>
      </c>
      <c r="J275" s="40">
        <f t="shared" si="78"/>
        <v>0</v>
      </c>
      <c r="K275" s="40">
        <f t="shared" si="78"/>
        <v>0</v>
      </c>
      <c r="L275" s="40">
        <f t="shared" si="78"/>
        <v>0</v>
      </c>
      <c r="M275" s="79"/>
    </row>
    <row r="276" spans="1:13" ht="23.25" customHeight="1" hidden="1" outlineLevel="1">
      <c r="A276" s="108"/>
      <c r="B276" s="178"/>
      <c r="C276" s="114"/>
      <c r="D276" s="46"/>
      <c r="E276" s="114"/>
      <c r="F276" s="39" t="s">
        <v>14</v>
      </c>
      <c r="G276" s="40">
        <f>H276+I276+J276+K276+L276</f>
        <v>0</v>
      </c>
      <c r="H276" s="40">
        <f t="shared" si="78"/>
        <v>0</v>
      </c>
      <c r="I276" s="40">
        <f t="shared" si="78"/>
        <v>0</v>
      </c>
      <c r="J276" s="40">
        <f t="shared" si="78"/>
        <v>0</v>
      </c>
      <c r="K276" s="40">
        <f t="shared" si="78"/>
        <v>0</v>
      </c>
      <c r="L276" s="40">
        <f t="shared" si="78"/>
        <v>0</v>
      </c>
      <c r="M276" s="79"/>
    </row>
    <row r="277" spans="1:13" ht="27" customHeight="1" hidden="1" outlineLevel="1">
      <c r="A277" s="109"/>
      <c r="B277" s="179"/>
      <c r="C277" s="115"/>
      <c r="D277" s="47"/>
      <c r="E277" s="115"/>
      <c r="F277" s="39" t="s">
        <v>15</v>
      </c>
      <c r="G277" s="40">
        <f>H277+I277+J277+K277+L277</f>
        <v>0</v>
      </c>
      <c r="H277" s="40">
        <f t="shared" si="78"/>
        <v>0</v>
      </c>
      <c r="I277" s="40">
        <f t="shared" si="78"/>
        <v>0</v>
      </c>
      <c r="J277" s="40">
        <f t="shared" si="78"/>
        <v>0</v>
      </c>
      <c r="K277" s="40">
        <f t="shared" si="78"/>
        <v>0</v>
      </c>
      <c r="L277" s="40">
        <f t="shared" si="78"/>
        <v>0</v>
      </c>
      <c r="M277" s="79"/>
    </row>
    <row r="278" spans="1:13" ht="21.75" customHeight="1" hidden="1" outlineLevel="1">
      <c r="A278" s="116" t="s">
        <v>196</v>
      </c>
      <c r="B278" s="98" t="s">
        <v>195</v>
      </c>
      <c r="C278" s="101" t="s">
        <v>125</v>
      </c>
      <c r="D278" s="101" t="s">
        <v>143</v>
      </c>
      <c r="E278" s="101" t="s">
        <v>106</v>
      </c>
      <c r="F278" s="16" t="s">
        <v>12</v>
      </c>
      <c r="G278" s="26">
        <f aca="true" t="shared" si="79" ref="G278:L278">G279+G280+G281</f>
        <v>0</v>
      </c>
      <c r="H278" s="26">
        <f t="shared" si="79"/>
        <v>0</v>
      </c>
      <c r="I278" s="26">
        <f t="shared" si="79"/>
        <v>0</v>
      </c>
      <c r="J278" s="26">
        <f t="shared" si="79"/>
        <v>0</v>
      </c>
      <c r="K278" s="26">
        <f t="shared" si="79"/>
        <v>0</v>
      </c>
      <c r="L278" s="26">
        <f t="shared" si="79"/>
        <v>0</v>
      </c>
      <c r="M278" s="157" t="s">
        <v>204</v>
      </c>
    </row>
    <row r="279" spans="1:13" ht="21.75" customHeight="1" hidden="1" outlineLevel="1">
      <c r="A279" s="117"/>
      <c r="B279" s="99"/>
      <c r="C279" s="102"/>
      <c r="D279" s="102"/>
      <c r="E279" s="102"/>
      <c r="F279" s="16" t="s">
        <v>13</v>
      </c>
      <c r="G279" s="26">
        <f>H279+I279+J279+K279+L279</f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158"/>
    </row>
    <row r="280" spans="1:13" ht="21.75" customHeight="1" hidden="1" outlineLevel="1">
      <c r="A280" s="117"/>
      <c r="B280" s="99"/>
      <c r="C280" s="102"/>
      <c r="D280" s="102"/>
      <c r="E280" s="102"/>
      <c r="F280" s="16" t="s">
        <v>14</v>
      </c>
      <c r="G280" s="26">
        <f>H280+I280+J280+K280+L280</f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158"/>
    </row>
    <row r="281" spans="1:13" ht="21.75" customHeight="1" hidden="1" outlineLevel="1">
      <c r="A281" s="118"/>
      <c r="B281" s="100"/>
      <c r="C281" s="106"/>
      <c r="D281" s="106"/>
      <c r="E281" s="106"/>
      <c r="F281" s="16" t="s">
        <v>15</v>
      </c>
      <c r="G281" s="26">
        <f>H281+I281+J281+K281+L281</f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158"/>
    </row>
    <row r="282" spans="1:13" ht="21.75" customHeight="1" hidden="1" outlineLevel="1">
      <c r="A282" s="107">
        <v>7</v>
      </c>
      <c r="B282" s="110" t="s">
        <v>201</v>
      </c>
      <c r="C282" s="113" t="s">
        <v>125</v>
      </c>
      <c r="D282" s="45"/>
      <c r="E282" s="113" t="s">
        <v>106</v>
      </c>
      <c r="F282" s="39" t="s">
        <v>12</v>
      </c>
      <c r="G282" s="40">
        <f aca="true" t="shared" si="80" ref="G282:L282">G283+G284+G285</f>
        <v>0</v>
      </c>
      <c r="H282" s="40">
        <f t="shared" si="80"/>
        <v>0</v>
      </c>
      <c r="I282" s="40">
        <f t="shared" si="80"/>
        <v>0</v>
      </c>
      <c r="J282" s="40">
        <f t="shared" si="80"/>
        <v>0</v>
      </c>
      <c r="K282" s="40">
        <f t="shared" si="80"/>
        <v>0</v>
      </c>
      <c r="L282" s="40">
        <f t="shared" si="80"/>
        <v>0</v>
      </c>
      <c r="M282" s="79"/>
    </row>
    <row r="283" spans="1:13" ht="21.75" customHeight="1" hidden="1" outlineLevel="1">
      <c r="A283" s="108"/>
      <c r="B283" s="111"/>
      <c r="C283" s="114"/>
      <c r="D283" s="46"/>
      <c r="E283" s="114"/>
      <c r="F283" s="39" t="s">
        <v>13</v>
      </c>
      <c r="G283" s="40">
        <f>H283+I283+J283+K283+L283</f>
        <v>0</v>
      </c>
      <c r="H283" s="40">
        <f aca="true" t="shared" si="81" ref="H283:L285">H287</f>
        <v>0</v>
      </c>
      <c r="I283" s="40">
        <f t="shared" si="81"/>
        <v>0</v>
      </c>
      <c r="J283" s="40">
        <f t="shared" si="81"/>
        <v>0</v>
      </c>
      <c r="K283" s="40">
        <f t="shared" si="81"/>
        <v>0</v>
      </c>
      <c r="L283" s="40">
        <f t="shared" si="81"/>
        <v>0</v>
      </c>
      <c r="M283" s="79"/>
    </row>
    <row r="284" spans="1:13" ht="21.75" customHeight="1" hidden="1" outlineLevel="1">
      <c r="A284" s="108"/>
      <c r="B284" s="111"/>
      <c r="C284" s="114"/>
      <c r="D284" s="46"/>
      <c r="E284" s="114"/>
      <c r="F284" s="39" t="s">
        <v>14</v>
      </c>
      <c r="G284" s="40">
        <f>H284+I284+J284+K284+L284</f>
        <v>0</v>
      </c>
      <c r="H284" s="40">
        <f t="shared" si="81"/>
        <v>0</v>
      </c>
      <c r="I284" s="40">
        <f t="shared" si="81"/>
        <v>0</v>
      </c>
      <c r="J284" s="40">
        <f t="shared" si="81"/>
        <v>0</v>
      </c>
      <c r="K284" s="40">
        <f t="shared" si="81"/>
        <v>0</v>
      </c>
      <c r="L284" s="40">
        <f t="shared" si="81"/>
        <v>0</v>
      </c>
      <c r="M284" s="79"/>
    </row>
    <row r="285" spans="1:13" ht="21.75" customHeight="1" hidden="1" outlineLevel="1">
      <c r="A285" s="109"/>
      <c r="B285" s="112"/>
      <c r="C285" s="115"/>
      <c r="D285" s="47"/>
      <c r="E285" s="115"/>
      <c r="F285" s="39" t="s">
        <v>15</v>
      </c>
      <c r="G285" s="40">
        <f>H285+I285+J285+K285+L285</f>
        <v>0</v>
      </c>
      <c r="H285" s="40">
        <f t="shared" si="81"/>
        <v>0</v>
      </c>
      <c r="I285" s="40">
        <f t="shared" si="81"/>
        <v>0</v>
      </c>
      <c r="J285" s="40">
        <f t="shared" si="81"/>
        <v>0</v>
      </c>
      <c r="K285" s="40">
        <f t="shared" si="81"/>
        <v>0</v>
      </c>
      <c r="L285" s="40">
        <f t="shared" si="81"/>
        <v>0</v>
      </c>
      <c r="M285" s="79"/>
    </row>
    <row r="286" spans="1:13" ht="30.75" customHeight="1" hidden="1" outlineLevel="1">
      <c r="A286" s="116" t="s">
        <v>198</v>
      </c>
      <c r="B286" s="98" t="s">
        <v>197</v>
      </c>
      <c r="C286" s="101" t="s">
        <v>125</v>
      </c>
      <c r="D286" s="101" t="s">
        <v>143</v>
      </c>
      <c r="E286" s="101" t="s">
        <v>106</v>
      </c>
      <c r="F286" s="16" t="s">
        <v>12</v>
      </c>
      <c r="G286" s="26">
        <f aca="true" t="shared" si="82" ref="G286:L286">G287+G288+G289</f>
        <v>0</v>
      </c>
      <c r="H286" s="26">
        <f t="shared" si="82"/>
        <v>0</v>
      </c>
      <c r="I286" s="26">
        <f t="shared" si="82"/>
        <v>0</v>
      </c>
      <c r="J286" s="26">
        <f t="shared" si="82"/>
        <v>0</v>
      </c>
      <c r="K286" s="26">
        <f t="shared" si="82"/>
        <v>0</v>
      </c>
      <c r="L286" s="26">
        <f t="shared" si="82"/>
        <v>0</v>
      </c>
      <c r="M286" s="180" t="s">
        <v>203</v>
      </c>
    </row>
    <row r="287" spans="1:13" ht="30.75" customHeight="1" hidden="1" outlineLevel="1">
      <c r="A287" s="117"/>
      <c r="B287" s="99"/>
      <c r="C287" s="102"/>
      <c r="D287" s="102"/>
      <c r="E287" s="102"/>
      <c r="F287" s="16" t="s">
        <v>13</v>
      </c>
      <c r="G287" s="26">
        <f>H287+I287+J287+K287+L287</f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181"/>
    </row>
    <row r="288" spans="1:13" ht="30.75" customHeight="1" hidden="1" outlineLevel="1">
      <c r="A288" s="117"/>
      <c r="B288" s="99"/>
      <c r="C288" s="102"/>
      <c r="D288" s="102"/>
      <c r="E288" s="102"/>
      <c r="F288" s="16" t="s">
        <v>14</v>
      </c>
      <c r="G288" s="26">
        <f>H288+I288+J288+K288+L288</f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181"/>
    </row>
    <row r="289" spans="1:13" ht="30.75" customHeight="1" hidden="1" outlineLevel="1">
      <c r="A289" s="118"/>
      <c r="B289" s="100"/>
      <c r="C289" s="106"/>
      <c r="D289" s="106"/>
      <c r="E289" s="106"/>
      <c r="F289" s="16" t="s">
        <v>15</v>
      </c>
      <c r="G289" s="26">
        <f>H289+I289+J289+K289+L289</f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181"/>
    </row>
    <row r="290" spans="1:13" ht="21.75" customHeight="1" collapsed="1">
      <c r="A290" s="83" t="s">
        <v>75</v>
      </c>
      <c r="B290" s="86" t="s">
        <v>76</v>
      </c>
      <c r="C290" s="87"/>
      <c r="D290" s="87"/>
      <c r="E290" s="88"/>
      <c r="F290" s="55" t="s">
        <v>12</v>
      </c>
      <c r="G290" s="56">
        <f aca="true" t="shared" si="83" ref="G290:L290">G291+G292+G293</f>
        <v>5324439047.67</v>
      </c>
      <c r="H290" s="56">
        <f t="shared" si="83"/>
        <v>952111245</v>
      </c>
      <c r="I290" s="56">
        <f t="shared" si="83"/>
        <v>1061957868.3599999</v>
      </c>
      <c r="J290" s="56">
        <f t="shared" si="83"/>
        <v>1191313458.95</v>
      </c>
      <c r="K290" s="56">
        <f t="shared" si="83"/>
        <v>1062635727.33</v>
      </c>
      <c r="L290" s="56">
        <f t="shared" si="83"/>
        <v>1056420748.03</v>
      </c>
      <c r="M290" s="79"/>
    </row>
    <row r="291" spans="1:13" ht="21.75" customHeight="1">
      <c r="A291" s="84"/>
      <c r="B291" s="89"/>
      <c r="C291" s="90"/>
      <c r="D291" s="90"/>
      <c r="E291" s="91"/>
      <c r="F291" s="55" t="s">
        <v>13</v>
      </c>
      <c r="G291" s="56">
        <f>H291+I291+J291+K291+L291</f>
        <v>1390589151.56</v>
      </c>
      <c r="H291" s="56">
        <f aca="true" t="shared" si="84" ref="H291:L293">H283+H235+H211+H171+H11+H267+H275</f>
        <v>257261460.35</v>
      </c>
      <c r="I291" s="56">
        <f t="shared" si="84"/>
        <v>274006749.57</v>
      </c>
      <c r="J291" s="56">
        <f t="shared" si="84"/>
        <v>298087133.31</v>
      </c>
      <c r="K291" s="56">
        <f t="shared" si="84"/>
        <v>282072017.01</v>
      </c>
      <c r="L291" s="56">
        <f t="shared" si="84"/>
        <v>279161791.32</v>
      </c>
      <c r="M291" s="79"/>
    </row>
    <row r="292" spans="1:13" ht="21.75" customHeight="1">
      <c r="A292" s="84"/>
      <c r="B292" s="89"/>
      <c r="C292" s="90"/>
      <c r="D292" s="90"/>
      <c r="E292" s="91"/>
      <c r="F292" s="55" t="s">
        <v>14</v>
      </c>
      <c r="G292" s="56">
        <f>H292+I292+J292+K292+L292</f>
        <v>3545171395.65</v>
      </c>
      <c r="H292" s="56">
        <f t="shared" si="84"/>
        <v>674427650.65</v>
      </c>
      <c r="I292" s="56">
        <f t="shared" si="84"/>
        <v>721973504.3299999</v>
      </c>
      <c r="J292" s="56">
        <f t="shared" si="84"/>
        <v>712049593.6400001</v>
      </c>
      <c r="K292" s="56">
        <f t="shared" si="84"/>
        <v>706718160.32</v>
      </c>
      <c r="L292" s="56">
        <f t="shared" si="84"/>
        <v>730002486.7099999</v>
      </c>
      <c r="M292" s="79"/>
    </row>
    <row r="293" spans="1:13" ht="21.75" customHeight="1">
      <c r="A293" s="85"/>
      <c r="B293" s="92"/>
      <c r="C293" s="93"/>
      <c r="D293" s="93"/>
      <c r="E293" s="94"/>
      <c r="F293" s="55" t="s">
        <v>15</v>
      </c>
      <c r="G293" s="56">
        <f>H293+I293+J293+K293+L293</f>
        <v>388678500.46</v>
      </c>
      <c r="H293" s="56">
        <f t="shared" si="84"/>
        <v>20422134</v>
      </c>
      <c r="I293" s="56">
        <f t="shared" si="84"/>
        <v>65977614.45999999</v>
      </c>
      <c r="J293" s="56">
        <f t="shared" si="84"/>
        <v>181176732</v>
      </c>
      <c r="K293" s="56">
        <f t="shared" si="84"/>
        <v>73845550</v>
      </c>
      <c r="L293" s="56">
        <f t="shared" si="84"/>
        <v>47256470</v>
      </c>
      <c r="M293" s="79"/>
    </row>
    <row r="294" spans="9:12" ht="16.5">
      <c r="I294" s="48">
        <f>'[4]остатки средств в ФК_9'!$R$101-1600000</f>
        <v>1061957868.36</v>
      </c>
      <c r="J294" s="48">
        <f>'[13]остатки средств в ФК_2'!$R$99</f>
        <v>1191313458.95</v>
      </c>
      <c r="K294" s="48">
        <f>'[15]СРБ на план. период'!T80</f>
        <v>1062635727.33</v>
      </c>
      <c r="L294" s="48">
        <f>'[15]СРБ на план. период'!U80</f>
        <v>1056420748.03</v>
      </c>
    </row>
    <row r="295" spans="9:12" ht="16.5">
      <c r="I295" s="48">
        <f>I290-I294</f>
        <v>0</v>
      </c>
      <c r="J295" s="48">
        <f>J290-J294</f>
        <v>0</v>
      </c>
      <c r="K295" s="48">
        <f>K290-K294</f>
        <v>0</v>
      </c>
      <c r="L295" s="48">
        <f>L290-L294</f>
        <v>0</v>
      </c>
    </row>
    <row r="296" spans="10:12" ht="16.5">
      <c r="J296" s="34"/>
      <c r="L296" s="34"/>
    </row>
    <row r="297" spans="1:41" s="21" customFormat="1" ht="16.5">
      <c r="A297" s="2"/>
      <c r="B297" s="18"/>
      <c r="C297" s="17"/>
      <c r="D297" s="2"/>
      <c r="E297" s="2"/>
      <c r="F297" s="2"/>
      <c r="I297" s="34"/>
      <c r="M297" s="3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302" spans="10:12" ht="16.5">
      <c r="J302" s="34"/>
      <c r="K302" s="34"/>
      <c r="L302" s="34"/>
    </row>
  </sheetData>
  <sheetProtection/>
  <mergeCells count="379">
    <mergeCell ref="M286:M289"/>
    <mergeCell ref="A290:A293"/>
    <mergeCell ref="B290:E293"/>
    <mergeCell ref="M278:M281"/>
    <mergeCell ref="A282:A285"/>
    <mergeCell ref="B282:B285"/>
    <mergeCell ref="C282:C285"/>
    <mergeCell ref="E282:E285"/>
    <mergeCell ref="A286:A289"/>
    <mergeCell ref="B286:B289"/>
    <mergeCell ref="C286:C289"/>
    <mergeCell ref="D286:D289"/>
    <mergeCell ref="E286:E289"/>
    <mergeCell ref="M270:M273"/>
    <mergeCell ref="A274:A277"/>
    <mergeCell ref="B274:B277"/>
    <mergeCell ref="C274:C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E266:E269"/>
    <mergeCell ref="A270:A273"/>
    <mergeCell ref="B270:B273"/>
    <mergeCell ref="C270:C273"/>
    <mergeCell ref="D270:D273"/>
    <mergeCell ref="E270:E273"/>
    <mergeCell ref="A258:A261"/>
    <mergeCell ref="B258:B261"/>
    <mergeCell ref="C258:C261"/>
    <mergeCell ref="D258:D261"/>
    <mergeCell ref="E258:E261"/>
    <mergeCell ref="B262:B265"/>
    <mergeCell ref="C262:C265"/>
    <mergeCell ref="D262:D265"/>
    <mergeCell ref="E262:E265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E254:E257"/>
    <mergeCell ref="E242:E245"/>
    <mergeCell ref="A246:A249"/>
    <mergeCell ref="B246:B249"/>
    <mergeCell ref="C246:C249"/>
    <mergeCell ref="D246:D249"/>
    <mergeCell ref="E246:E249"/>
    <mergeCell ref="A238:A241"/>
    <mergeCell ref="B238:B241"/>
    <mergeCell ref="C238:C241"/>
    <mergeCell ref="D238:D241"/>
    <mergeCell ref="E238:E241"/>
    <mergeCell ref="M238:M265"/>
    <mergeCell ref="A242:A245"/>
    <mergeCell ref="B242:B245"/>
    <mergeCell ref="C242:C245"/>
    <mergeCell ref="D242:D245"/>
    <mergeCell ref="A234:A237"/>
    <mergeCell ref="B234:B237"/>
    <mergeCell ref="C234:C237"/>
    <mergeCell ref="D234:D237"/>
    <mergeCell ref="E234:E237"/>
    <mergeCell ref="M234:M237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E230:E233"/>
    <mergeCell ref="E218:E221"/>
    <mergeCell ref="A222:A225"/>
    <mergeCell ref="B222:B225"/>
    <mergeCell ref="C222:C225"/>
    <mergeCell ref="D222:D225"/>
    <mergeCell ref="E222:E225"/>
    <mergeCell ref="A214:A217"/>
    <mergeCell ref="B214:B217"/>
    <mergeCell ref="C214:C217"/>
    <mergeCell ref="D214:D217"/>
    <mergeCell ref="E214:E217"/>
    <mergeCell ref="M214:M233"/>
    <mergeCell ref="A218:A221"/>
    <mergeCell ref="B218:B221"/>
    <mergeCell ref="C218:C221"/>
    <mergeCell ref="D218:D221"/>
    <mergeCell ref="A210:A213"/>
    <mergeCell ref="B210:B213"/>
    <mergeCell ref="C210:C213"/>
    <mergeCell ref="D210:D213"/>
    <mergeCell ref="E210:E213"/>
    <mergeCell ref="M210:M213"/>
    <mergeCell ref="A202:A205"/>
    <mergeCell ref="B202:B205"/>
    <mergeCell ref="C202:C205"/>
    <mergeCell ref="D202:D205"/>
    <mergeCell ref="E202:E205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B198:B201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D178:D181"/>
    <mergeCell ref="E178:E181"/>
    <mergeCell ref="A182:A185"/>
    <mergeCell ref="B182:B185"/>
    <mergeCell ref="C182:C185"/>
    <mergeCell ref="D182:D185"/>
    <mergeCell ref="E182:E185"/>
    <mergeCell ref="Y173:Y189"/>
    <mergeCell ref="A174:A177"/>
    <mergeCell ref="B174:B177"/>
    <mergeCell ref="C174:C177"/>
    <mergeCell ref="D174:D177"/>
    <mergeCell ref="E174:E177"/>
    <mergeCell ref="M174:M209"/>
    <mergeCell ref="A178:A181"/>
    <mergeCell ref="B178:B181"/>
    <mergeCell ref="C178:C181"/>
    <mergeCell ref="A170:A173"/>
    <mergeCell ref="B170:B173"/>
    <mergeCell ref="C170:C173"/>
    <mergeCell ref="D170:D173"/>
    <mergeCell ref="E170:E173"/>
    <mergeCell ref="M170:M173"/>
    <mergeCell ref="A166:A169"/>
    <mergeCell ref="B166:B169"/>
    <mergeCell ref="C166:C169"/>
    <mergeCell ref="D166:D169"/>
    <mergeCell ref="E166:E169"/>
    <mergeCell ref="M166:M169"/>
    <mergeCell ref="M158:M161"/>
    <mergeCell ref="A162:A165"/>
    <mergeCell ref="B162:B165"/>
    <mergeCell ref="C162:C165"/>
    <mergeCell ref="D162:D165"/>
    <mergeCell ref="E162:E165"/>
    <mergeCell ref="M162:M165"/>
    <mergeCell ref="B154:B157"/>
    <mergeCell ref="C154:C157"/>
    <mergeCell ref="D154:D157"/>
    <mergeCell ref="E154:E157"/>
    <mergeCell ref="M154:M157"/>
    <mergeCell ref="A158:A161"/>
    <mergeCell ref="B158:B161"/>
    <mergeCell ref="C158:C161"/>
    <mergeCell ref="D158:D161"/>
    <mergeCell ref="E158:E161"/>
    <mergeCell ref="A150:A153"/>
    <mergeCell ref="B150:B153"/>
    <mergeCell ref="C150:C153"/>
    <mergeCell ref="D150:D153"/>
    <mergeCell ref="E150:E153"/>
    <mergeCell ref="M150:M153"/>
    <mergeCell ref="A146:A149"/>
    <mergeCell ref="B146:B149"/>
    <mergeCell ref="C146:C149"/>
    <mergeCell ref="D146:D149"/>
    <mergeCell ref="E146:E149"/>
    <mergeCell ref="M146:M149"/>
    <mergeCell ref="A142:A145"/>
    <mergeCell ref="B142:B145"/>
    <mergeCell ref="C142:C145"/>
    <mergeCell ref="D142:D145"/>
    <mergeCell ref="E142:E145"/>
    <mergeCell ref="M142:M145"/>
    <mergeCell ref="Y134:Y137"/>
    <mergeCell ref="A138:A141"/>
    <mergeCell ref="B138:B141"/>
    <mergeCell ref="C138:C141"/>
    <mergeCell ref="D138:D141"/>
    <mergeCell ref="E138:E141"/>
    <mergeCell ref="D130:D133"/>
    <mergeCell ref="E130:E133"/>
    <mergeCell ref="A134:A137"/>
    <mergeCell ref="B134:B137"/>
    <mergeCell ref="C134:C137"/>
    <mergeCell ref="D134:D137"/>
    <mergeCell ref="E134:E137"/>
    <mergeCell ref="M122:M125"/>
    <mergeCell ref="A126:A129"/>
    <mergeCell ref="B126:B129"/>
    <mergeCell ref="C126:C129"/>
    <mergeCell ref="D126:D129"/>
    <mergeCell ref="E126:E129"/>
    <mergeCell ref="M126:M141"/>
    <mergeCell ref="A130:A133"/>
    <mergeCell ref="B130:B133"/>
    <mergeCell ref="C130:C133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M98:M121"/>
    <mergeCell ref="A102:A105"/>
    <mergeCell ref="B102:B105"/>
    <mergeCell ref="C102:C105"/>
    <mergeCell ref="D102:D105"/>
    <mergeCell ref="E90:E93"/>
    <mergeCell ref="A94:A97"/>
    <mergeCell ref="B94:B97"/>
    <mergeCell ref="C94:C97"/>
    <mergeCell ref="D94:D97"/>
    <mergeCell ref="E94:E97"/>
    <mergeCell ref="M82:M85"/>
    <mergeCell ref="A86:A89"/>
    <mergeCell ref="B86:B89"/>
    <mergeCell ref="C86:C89"/>
    <mergeCell ref="D86:D89"/>
    <mergeCell ref="E86:E89"/>
    <mergeCell ref="M86:M97"/>
    <mergeCell ref="B90:B93"/>
    <mergeCell ref="C90:C93"/>
    <mergeCell ref="D90:D93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M34:M81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M14:M33"/>
    <mergeCell ref="A18:A21"/>
    <mergeCell ref="B18:B21"/>
    <mergeCell ref="C18:C21"/>
    <mergeCell ref="D18:D21"/>
    <mergeCell ref="G7:L7"/>
    <mergeCell ref="M7:M8"/>
    <mergeCell ref="A10:A13"/>
    <mergeCell ref="B10:B13"/>
    <mergeCell ref="C10:C13"/>
    <mergeCell ref="D10:D13"/>
    <mergeCell ref="E10:E13"/>
    <mergeCell ref="M10:M13"/>
    <mergeCell ref="K1:M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43" r:id="rId3"/>
  <rowBreaks count="3" manualBreakCount="3">
    <brk id="57" max="12" man="1"/>
    <brk id="121" max="12" man="1"/>
    <brk id="24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2022-08-18T11:49:48Z</cp:lastPrinted>
  <dcterms:created xsi:type="dcterms:W3CDTF">2016-12-27T10:55:56Z</dcterms:created>
  <dcterms:modified xsi:type="dcterms:W3CDTF">2022-08-18T11:49:54Z</dcterms:modified>
  <cp:category/>
  <cp:version/>
  <cp:contentType/>
  <cp:contentStatus/>
</cp:coreProperties>
</file>