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org-luba\_Work_Org-Luba\ПОСТАНОВЛЕНИЯ\1310\"/>
    </mc:Choice>
  </mc:AlternateContent>
  <bookViews>
    <workbookView xWindow="-60" yWindow="-60" windowWidth="15480" windowHeight="11640" tabRatio="894" activeTab="3"/>
  </bookViews>
  <sheets>
    <sheet name="оконч.2022 и бюджет 2023-25" sheetId="73" r:id="rId1"/>
    <sheet name="на 01.03." sheetId="76" r:id="rId2"/>
    <sheet name="на 01.04" sheetId="78" r:id="rId3"/>
    <sheet name="на 01.06" sheetId="7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">'на 01.03.'!$A$1:$N$313</definedName>
    <definedName name="_xlnm.Print_Area" localSheetId="2">'на 01.04'!$A$1:$N$313</definedName>
    <definedName name="_xlnm.Print_Area" localSheetId="3">'на 01.06'!$A$1:$N$313</definedName>
    <definedName name="_xlnm.Print_Area" localSheetId="0">'оконч.2022 и бюджет 2023-25'!$A$1:$N$309</definedName>
  </definedNames>
  <calcPr calcId="179021"/>
  <customWorkbookViews>
    <customWorkbookView name="Тарбаева Т. М. - Личное представление" guid="{E576B4FF-74CD-4A03-9529-DBADD5518170}" mergeInterval="0" personalView="1" maximized="1" windowWidth="1916" windowHeight="934" activeSheetId="5"/>
    <customWorkbookView name="Admin - Личное представление" guid="{5CF87B84-330A-4B5B-965F-1A1485DEE261}" mergeInterval="0" personalView="1" maximized="1" windowWidth="1916" windowHeight="934" activeSheetId="5"/>
  </customWorkbookViews>
</workbook>
</file>

<file path=xl/calcChain.xml><?xml version="1.0" encoding="utf-8"?>
<calcChain xmlns="http://schemas.openxmlformats.org/spreadsheetml/2006/main">
  <c r="K79" i="74" l="1"/>
  <c r="M314" i="78" l="1"/>
  <c r="L314" i="78"/>
  <c r="K314" i="78"/>
  <c r="J314" i="78"/>
  <c r="I314" i="78"/>
  <c r="G309" i="78"/>
  <c r="G308" i="78"/>
  <c r="G307" i="78"/>
  <c r="M306" i="78"/>
  <c r="L306" i="78"/>
  <c r="K306" i="78"/>
  <c r="J306" i="78"/>
  <c r="I306" i="78"/>
  <c r="H306" i="78"/>
  <c r="G306" i="78"/>
  <c r="M305" i="78"/>
  <c r="L305" i="78"/>
  <c r="K305" i="78"/>
  <c r="J305" i="78"/>
  <c r="I305" i="78"/>
  <c r="H305" i="78"/>
  <c r="G305" i="78"/>
  <c r="M304" i="78"/>
  <c r="L304" i="78"/>
  <c r="K304" i="78"/>
  <c r="J304" i="78"/>
  <c r="I304" i="78"/>
  <c r="H304" i="78"/>
  <c r="M303" i="78"/>
  <c r="L303" i="78"/>
  <c r="K303" i="78"/>
  <c r="J303" i="78"/>
  <c r="I303" i="78"/>
  <c r="H303" i="78"/>
  <c r="H311" i="78" s="1"/>
  <c r="G303" i="78"/>
  <c r="M302" i="78"/>
  <c r="L302" i="78"/>
  <c r="K302" i="78"/>
  <c r="J302" i="78"/>
  <c r="I302" i="78"/>
  <c r="H302" i="78"/>
  <c r="G301" i="78"/>
  <c r="G300" i="78"/>
  <c r="G299" i="78"/>
  <c r="M298" i="78"/>
  <c r="L298" i="78"/>
  <c r="K298" i="78"/>
  <c r="J298" i="78"/>
  <c r="I298" i="78"/>
  <c r="H298" i="78"/>
  <c r="G298" i="78"/>
  <c r="M297" i="78"/>
  <c r="L297" i="78"/>
  <c r="K297" i="78"/>
  <c r="J297" i="78"/>
  <c r="I297" i="78"/>
  <c r="H297" i="78"/>
  <c r="G297" i="78"/>
  <c r="M296" i="78"/>
  <c r="L296" i="78"/>
  <c r="K296" i="78"/>
  <c r="J296" i="78"/>
  <c r="I296" i="78"/>
  <c r="H296" i="78"/>
  <c r="G296" i="78" s="1"/>
  <c r="G294" i="78" s="1"/>
  <c r="M295" i="78"/>
  <c r="L295" i="78"/>
  <c r="K295" i="78"/>
  <c r="J295" i="78"/>
  <c r="I295" i="78"/>
  <c r="H295" i="78"/>
  <c r="G295" i="78"/>
  <c r="M294" i="78"/>
  <c r="L294" i="78"/>
  <c r="K294" i="78"/>
  <c r="J294" i="78"/>
  <c r="I294" i="78"/>
  <c r="H294" i="78"/>
  <c r="G293" i="78"/>
  <c r="G292" i="78"/>
  <c r="J291" i="78"/>
  <c r="H291" i="78"/>
  <c r="G291" i="78"/>
  <c r="M290" i="78"/>
  <c r="L290" i="78"/>
  <c r="K290" i="78"/>
  <c r="J290" i="78"/>
  <c r="I290" i="78"/>
  <c r="H290" i="78"/>
  <c r="G290" i="78"/>
  <c r="M289" i="78"/>
  <c r="L289" i="78"/>
  <c r="K289" i="78"/>
  <c r="J289" i="78"/>
  <c r="I289" i="78"/>
  <c r="H289" i="78"/>
  <c r="G289" i="78"/>
  <c r="M288" i="78"/>
  <c r="L288" i="78"/>
  <c r="K288" i="78"/>
  <c r="J288" i="78"/>
  <c r="I288" i="78"/>
  <c r="H288" i="78"/>
  <c r="G288" i="78" s="1"/>
  <c r="M287" i="78"/>
  <c r="M286" i="78" s="1"/>
  <c r="L287" i="78"/>
  <c r="K287" i="78"/>
  <c r="K286" i="78" s="1"/>
  <c r="J287" i="78"/>
  <c r="I287" i="78"/>
  <c r="I286" i="78" s="1"/>
  <c r="H287" i="78"/>
  <c r="G287" i="78"/>
  <c r="L286" i="78"/>
  <c r="J286" i="78"/>
  <c r="H286" i="78"/>
  <c r="G285" i="78"/>
  <c r="G284" i="78"/>
  <c r="G283" i="78"/>
  <c r="G282" i="78" s="1"/>
  <c r="M282" i="78"/>
  <c r="L282" i="78"/>
  <c r="K282" i="78"/>
  <c r="J282" i="78"/>
  <c r="I282" i="78"/>
  <c r="H282" i="78"/>
  <c r="G281" i="78"/>
  <c r="G280" i="78"/>
  <c r="G279" i="78"/>
  <c r="G278" i="78" s="1"/>
  <c r="M278" i="78"/>
  <c r="L278" i="78"/>
  <c r="K278" i="78"/>
  <c r="J278" i="78"/>
  <c r="I278" i="78"/>
  <c r="H278" i="78"/>
  <c r="G277" i="78"/>
  <c r="G276" i="78"/>
  <c r="G275" i="78"/>
  <c r="M274" i="78"/>
  <c r="L274" i="78"/>
  <c r="K274" i="78"/>
  <c r="J274" i="78"/>
  <c r="I274" i="78"/>
  <c r="H274" i="78"/>
  <c r="G274" i="78"/>
  <c r="G273" i="78"/>
  <c r="G272" i="78"/>
  <c r="G271" i="78"/>
  <c r="M270" i="78"/>
  <c r="L270" i="78"/>
  <c r="K270" i="78"/>
  <c r="J270" i="78"/>
  <c r="I270" i="78"/>
  <c r="H270" i="78"/>
  <c r="G270" i="78"/>
  <c r="G269" i="78"/>
  <c r="G268" i="78"/>
  <c r="G267" i="78"/>
  <c r="M266" i="78"/>
  <c r="L266" i="78"/>
  <c r="K266" i="78"/>
  <c r="J266" i="78"/>
  <c r="I266" i="78"/>
  <c r="H266" i="78"/>
  <c r="G266" i="78"/>
  <c r="G265" i="78"/>
  <c r="G264" i="78"/>
  <c r="G263" i="78"/>
  <c r="M262" i="78"/>
  <c r="L262" i="78"/>
  <c r="K262" i="78"/>
  <c r="J262" i="78"/>
  <c r="I262" i="78"/>
  <c r="H262" i="78"/>
  <c r="G262" i="78"/>
  <c r="G261" i="78"/>
  <c r="G260" i="78"/>
  <c r="J259" i="78"/>
  <c r="I259" i="78"/>
  <c r="G259" i="78"/>
  <c r="M258" i="78"/>
  <c r="L258" i="78"/>
  <c r="K258" i="78"/>
  <c r="J258" i="78"/>
  <c r="I258" i="78"/>
  <c r="H258" i="78"/>
  <c r="G258" i="78"/>
  <c r="G257" i="78"/>
  <c r="G256" i="78"/>
  <c r="J255" i="78"/>
  <c r="I255" i="78"/>
  <c r="G255" i="78"/>
  <c r="G254" i="78" s="1"/>
  <c r="M254" i="78"/>
  <c r="L254" i="78"/>
  <c r="K254" i="78"/>
  <c r="J254" i="78"/>
  <c r="I254" i="78"/>
  <c r="H254" i="78"/>
  <c r="M253" i="78"/>
  <c r="L253" i="78"/>
  <c r="K253" i="78"/>
  <c r="J253" i="78"/>
  <c r="I253" i="78"/>
  <c r="H253" i="78"/>
  <c r="G253" i="78"/>
  <c r="M252" i="78"/>
  <c r="L252" i="78"/>
  <c r="K252" i="78"/>
  <c r="J252" i="78"/>
  <c r="I252" i="78"/>
  <c r="H252" i="78"/>
  <c r="G252" i="78" s="1"/>
  <c r="G250" i="78" s="1"/>
  <c r="M251" i="78"/>
  <c r="L251" i="78"/>
  <c r="K251" i="78"/>
  <c r="J251" i="78"/>
  <c r="I251" i="78"/>
  <c r="H251" i="78"/>
  <c r="G251" i="78"/>
  <c r="M250" i="78"/>
  <c r="L250" i="78"/>
  <c r="K250" i="78"/>
  <c r="J250" i="78"/>
  <c r="I250" i="78"/>
  <c r="H250" i="78"/>
  <c r="G249" i="78"/>
  <c r="I248" i="78"/>
  <c r="G248" i="78"/>
  <c r="I247" i="78"/>
  <c r="G247" i="78"/>
  <c r="M246" i="78"/>
  <c r="L246" i="78"/>
  <c r="K246" i="78"/>
  <c r="J246" i="78"/>
  <c r="I246" i="78"/>
  <c r="H246" i="78"/>
  <c r="G246" i="78"/>
  <c r="G245" i="78"/>
  <c r="G244" i="78"/>
  <c r="J243" i="78"/>
  <c r="I243" i="78"/>
  <c r="G243" i="78"/>
  <c r="G242" i="78" s="1"/>
  <c r="M242" i="78"/>
  <c r="L242" i="78"/>
  <c r="K242" i="78"/>
  <c r="J242" i="78"/>
  <c r="I242" i="78"/>
  <c r="H242" i="78"/>
  <c r="G241" i="78"/>
  <c r="G240" i="78"/>
  <c r="G239" i="78"/>
  <c r="M238" i="78"/>
  <c r="L238" i="78"/>
  <c r="K238" i="78"/>
  <c r="J238" i="78"/>
  <c r="I238" i="78"/>
  <c r="H238" i="78"/>
  <c r="G238" i="78"/>
  <c r="G237" i="78"/>
  <c r="G236" i="78"/>
  <c r="J235" i="78"/>
  <c r="H235" i="78"/>
  <c r="G235" i="78"/>
  <c r="G234" i="78" s="1"/>
  <c r="M234" i="78"/>
  <c r="L234" i="78"/>
  <c r="K234" i="78"/>
  <c r="J234" i="78"/>
  <c r="I234" i="78"/>
  <c r="H234" i="78"/>
  <c r="G233" i="78"/>
  <c r="G232" i="78"/>
  <c r="J231" i="78"/>
  <c r="H231" i="78"/>
  <c r="G231" i="78"/>
  <c r="G230" i="78" s="1"/>
  <c r="M230" i="78"/>
  <c r="L230" i="78"/>
  <c r="K230" i="78"/>
  <c r="J230" i="78"/>
  <c r="I230" i="78"/>
  <c r="H230" i="78"/>
  <c r="M229" i="78"/>
  <c r="L229" i="78"/>
  <c r="K229" i="78"/>
  <c r="J229" i="78"/>
  <c r="I229" i="78"/>
  <c r="H229" i="78"/>
  <c r="G229" i="78"/>
  <c r="M228" i="78"/>
  <c r="L228" i="78"/>
  <c r="K228" i="78"/>
  <c r="J228" i="78"/>
  <c r="I228" i="78"/>
  <c r="H228" i="78"/>
  <c r="G228" i="78" s="1"/>
  <c r="M227" i="78"/>
  <c r="L227" i="78"/>
  <c r="K227" i="78"/>
  <c r="K226" i="78" s="1"/>
  <c r="J227" i="78"/>
  <c r="G227" i="78" s="1"/>
  <c r="G226" i="78" s="1"/>
  <c r="I227" i="78"/>
  <c r="I226" i="78" s="1"/>
  <c r="H227" i="78"/>
  <c r="M226" i="78"/>
  <c r="L226" i="78"/>
  <c r="J226" i="78"/>
  <c r="H226" i="78"/>
  <c r="G225" i="78"/>
  <c r="G224" i="78"/>
  <c r="G223" i="78"/>
  <c r="G222" i="78" s="1"/>
  <c r="M222" i="78"/>
  <c r="L222" i="78"/>
  <c r="K222" i="78"/>
  <c r="J222" i="78"/>
  <c r="I222" i="78"/>
  <c r="H222" i="78"/>
  <c r="G221" i="78"/>
  <c r="G220" i="78"/>
  <c r="G219" i="78"/>
  <c r="G218" i="78" s="1"/>
  <c r="M218" i="78"/>
  <c r="L218" i="78"/>
  <c r="K218" i="78"/>
  <c r="J218" i="78"/>
  <c r="I218" i="78"/>
  <c r="H218" i="78"/>
  <c r="G217" i="78"/>
  <c r="G216" i="78"/>
  <c r="G215" i="78"/>
  <c r="G214" i="78" s="1"/>
  <c r="M214" i="78"/>
  <c r="L214" i="78"/>
  <c r="K214" i="78"/>
  <c r="J214" i="78"/>
  <c r="I214" i="78"/>
  <c r="H214" i="78"/>
  <c r="P213" i="78"/>
  <c r="G213" i="78"/>
  <c r="G212" i="78"/>
  <c r="J211" i="78"/>
  <c r="H211" i="78"/>
  <c r="G211" i="78" s="1"/>
  <c r="G210" i="78" s="1"/>
  <c r="M210" i="78"/>
  <c r="L210" i="78"/>
  <c r="K210" i="78"/>
  <c r="J210" i="78"/>
  <c r="I210" i="78"/>
  <c r="H210" i="78"/>
  <c r="G209" i="78"/>
  <c r="G208" i="78"/>
  <c r="I207" i="78"/>
  <c r="H207" i="78"/>
  <c r="G207" i="78" s="1"/>
  <c r="G206" i="78" s="1"/>
  <c r="M206" i="78"/>
  <c r="L206" i="78"/>
  <c r="K206" i="78"/>
  <c r="J206" i="78"/>
  <c r="I206" i="78"/>
  <c r="H206" i="78"/>
  <c r="G205" i="78"/>
  <c r="G204" i="78"/>
  <c r="G203" i="78"/>
  <c r="M202" i="78"/>
  <c r="L202" i="78"/>
  <c r="K202" i="78"/>
  <c r="J202" i="78"/>
  <c r="I202" i="78"/>
  <c r="H202" i="78"/>
  <c r="G202" i="78"/>
  <c r="G201" i="78"/>
  <c r="J200" i="78"/>
  <c r="G200" i="78" s="1"/>
  <c r="J199" i="78"/>
  <c r="H199" i="78"/>
  <c r="G199" i="78"/>
  <c r="M198" i="78"/>
  <c r="L198" i="78"/>
  <c r="K198" i="78"/>
  <c r="J198" i="78"/>
  <c r="I198" i="78"/>
  <c r="H198" i="78"/>
  <c r="G197" i="78"/>
  <c r="H196" i="78"/>
  <c r="G196" i="78"/>
  <c r="H195" i="78"/>
  <c r="G195" i="78"/>
  <c r="W194" i="78"/>
  <c r="M194" i="78"/>
  <c r="L194" i="78"/>
  <c r="K194" i="78"/>
  <c r="J194" i="78"/>
  <c r="I194" i="78"/>
  <c r="H194" i="78"/>
  <c r="G194" i="78"/>
  <c r="G193" i="78"/>
  <c r="G192" i="78"/>
  <c r="G191" i="78"/>
  <c r="G190" i="78" s="1"/>
  <c r="M190" i="78"/>
  <c r="L190" i="78"/>
  <c r="J190" i="78"/>
  <c r="I190" i="78"/>
  <c r="G189" i="78"/>
  <c r="G188" i="78"/>
  <c r="G187" i="78"/>
  <c r="G186" i="78" s="1"/>
  <c r="M186" i="78"/>
  <c r="L186" i="78"/>
  <c r="K186" i="78"/>
  <c r="J186" i="78"/>
  <c r="I186" i="78"/>
  <c r="H186" i="78"/>
  <c r="G185" i="78"/>
  <c r="G184" i="78"/>
  <c r="G183" i="78"/>
  <c r="G182" i="78" s="1"/>
  <c r="M182" i="78"/>
  <c r="L182" i="78"/>
  <c r="K182" i="78"/>
  <c r="J182" i="78"/>
  <c r="I182" i="78"/>
  <c r="H182" i="78"/>
  <c r="G181" i="78"/>
  <c r="G180" i="78"/>
  <c r="Q179" i="78"/>
  <c r="P179" i="78"/>
  <c r="I179" i="78"/>
  <c r="G179" i="78" s="1"/>
  <c r="G178" i="78" s="1"/>
  <c r="M178" i="78"/>
  <c r="L178" i="78"/>
  <c r="K178" i="78"/>
  <c r="J178" i="78"/>
  <c r="I178" i="78"/>
  <c r="H178" i="78"/>
  <c r="G177" i="78"/>
  <c r="I176" i="78"/>
  <c r="G176" i="78"/>
  <c r="G175" i="78"/>
  <c r="M174" i="78"/>
  <c r="L174" i="78"/>
  <c r="K174" i="78"/>
  <c r="J174" i="78"/>
  <c r="I174" i="78"/>
  <c r="H174" i="78"/>
  <c r="G174" i="78"/>
  <c r="G173" i="78"/>
  <c r="G172" i="78"/>
  <c r="P171" i="78"/>
  <c r="Q171" i="78" s="1"/>
  <c r="G171" i="78"/>
  <c r="M170" i="78"/>
  <c r="L170" i="78"/>
  <c r="K170" i="78"/>
  <c r="J170" i="78"/>
  <c r="I170" i="78"/>
  <c r="H170" i="78"/>
  <c r="G170" i="78"/>
  <c r="G169" i="78"/>
  <c r="G168" i="78"/>
  <c r="P167" i="78"/>
  <c r="Q167" i="78" s="1"/>
  <c r="K167" i="78"/>
  <c r="G167" i="78"/>
  <c r="M166" i="78"/>
  <c r="L166" i="78"/>
  <c r="K166" i="78"/>
  <c r="J166" i="78"/>
  <c r="I166" i="78"/>
  <c r="H166" i="78"/>
  <c r="G166" i="78"/>
  <c r="G165" i="78"/>
  <c r="K164" i="78"/>
  <c r="J164" i="78"/>
  <c r="H164" i="78"/>
  <c r="G164" i="78"/>
  <c r="P163" i="78"/>
  <c r="Q163" i="78" s="1"/>
  <c r="L163" i="78"/>
  <c r="K163" i="78"/>
  <c r="J163" i="78"/>
  <c r="I163" i="78"/>
  <c r="G163" i="78"/>
  <c r="G162" i="78" s="1"/>
  <c r="M162" i="78"/>
  <c r="L162" i="78"/>
  <c r="K162" i="78"/>
  <c r="J162" i="78"/>
  <c r="I162" i="78"/>
  <c r="H162" i="78"/>
  <c r="M161" i="78"/>
  <c r="L161" i="78"/>
  <c r="K161" i="78"/>
  <c r="J161" i="78"/>
  <c r="I161" i="78"/>
  <c r="H161" i="78"/>
  <c r="G161" i="78"/>
  <c r="M160" i="78"/>
  <c r="L160" i="78"/>
  <c r="K160" i="78"/>
  <c r="J160" i="78"/>
  <c r="I160" i="78"/>
  <c r="H160" i="78"/>
  <c r="G160" i="78" s="1"/>
  <c r="M159" i="78"/>
  <c r="L159" i="78"/>
  <c r="K159" i="78"/>
  <c r="K158" i="78" s="1"/>
  <c r="J159" i="78"/>
  <c r="I159" i="78"/>
  <c r="I158" i="78" s="1"/>
  <c r="H159" i="78"/>
  <c r="G159" i="78"/>
  <c r="M158" i="78"/>
  <c r="L158" i="78"/>
  <c r="J158" i="78"/>
  <c r="H158" i="78"/>
  <c r="G157" i="78"/>
  <c r="G156" i="78"/>
  <c r="G155" i="78"/>
  <c r="G154" i="78" s="1"/>
  <c r="M154" i="78"/>
  <c r="L154" i="78"/>
  <c r="K154" i="78"/>
  <c r="J154" i="78"/>
  <c r="I154" i="78"/>
  <c r="H154" i="78"/>
  <c r="G153" i="78"/>
  <c r="G152" i="78"/>
  <c r="G151" i="78"/>
  <c r="G150" i="78" s="1"/>
  <c r="M150" i="78"/>
  <c r="L150" i="78"/>
  <c r="K150" i="78"/>
  <c r="J150" i="78"/>
  <c r="I150" i="78"/>
  <c r="H150" i="78"/>
  <c r="G149" i="78"/>
  <c r="G148" i="78"/>
  <c r="G147" i="78"/>
  <c r="G146" i="78" s="1"/>
  <c r="M146" i="78"/>
  <c r="L146" i="78"/>
  <c r="K146" i="78"/>
  <c r="J146" i="78"/>
  <c r="I146" i="78"/>
  <c r="H146" i="78"/>
  <c r="J145" i="78"/>
  <c r="G145" i="78" s="1"/>
  <c r="J144" i="78"/>
  <c r="H144" i="78"/>
  <c r="G144" i="78"/>
  <c r="J143" i="78"/>
  <c r="G143" i="78"/>
  <c r="M142" i="78"/>
  <c r="L142" i="78"/>
  <c r="K142" i="78"/>
  <c r="I142" i="78"/>
  <c r="H142" i="78"/>
  <c r="G141" i="78"/>
  <c r="J140" i="78"/>
  <c r="G140" i="78"/>
  <c r="J139" i="78"/>
  <c r="I139" i="78"/>
  <c r="G139" i="78" s="1"/>
  <c r="G138" i="78" s="1"/>
  <c r="M138" i="78"/>
  <c r="L138" i="78"/>
  <c r="K138" i="78"/>
  <c r="J138" i="78"/>
  <c r="I138" i="78"/>
  <c r="H138" i="78"/>
  <c r="G137" i="78"/>
  <c r="G136" i="78"/>
  <c r="I135" i="78"/>
  <c r="G135" i="78"/>
  <c r="G134" i="78" s="1"/>
  <c r="M134" i="78"/>
  <c r="L134" i="78"/>
  <c r="K134" i="78"/>
  <c r="J134" i="78"/>
  <c r="I134" i="78"/>
  <c r="H134" i="78"/>
  <c r="G133" i="78"/>
  <c r="G132" i="78"/>
  <c r="J131" i="78"/>
  <c r="I131" i="78"/>
  <c r="G131" i="78"/>
  <c r="G130" i="78" s="1"/>
  <c r="M130" i="78"/>
  <c r="L130" i="78"/>
  <c r="K130" i="78"/>
  <c r="J130" i="78"/>
  <c r="I130" i="78"/>
  <c r="H130" i="78"/>
  <c r="M129" i="78"/>
  <c r="L129" i="78"/>
  <c r="K129" i="78"/>
  <c r="I129" i="78"/>
  <c r="H129" i="78"/>
  <c r="M128" i="78"/>
  <c r="L128" i="78"/>
  <c r="K128" i="78"/>
  <c r="J128" i="78"/>
  <c r="I128" i="78"/>
  <c r="H128" i="78"/>
  <c r="G128" i="78" s="1"/>
  <c r="M127" i="78"/>
  <c r="M126" i="78" s="1"/>
  <c r="L127" i="78"/>
  <c r="K127" i="78"/>
  <c r="K126" i="78" s="1"/>
  <c r="J127" i="78"/>
  <c r="I127" i="78"/>
  <c r="I126" i="78" s="1"/>
  <c r="H127" i="78"/>
  <c r="G127" i="78"/>
  <c r="L126" i="78"/>
  <c r="H126" i="78"/>
  <c r="G125" i="78"/>
  <c r="M124" i="78"/>
  <c r="J124" i="78"/>
  <c r="I124" i="78"/>
  <c r="H124" i="78"/>
  <c r="G124" i="78" s="1"/>
  <c r="G123" i="78"/>
  <c r="M122" i="78"/>
  <c r="L122" i="78"/>
  <c r="K122" i="78"/>
  <c r="J122" i="78"/>
  <c r="I122" i="78"/>
  <c r="H122" i="78"/>
  <c r="G121" i="78"/>
  <c r="G120" i="78"/>
  <c r="I119" i="78"/>
  <c r="I118" i="78" s="1"/>
  <c r="H119" i="78"/>
  <c r="G119" i="78"/>
  <c r="G118" i="78" s="1"/>
  <c r="M118" i="78"/>
  <c r="L118" i="78"/>
  <c r="K118" i="78"/>
  <c r="J118" i="78"/>
  <c r="H118" i="78"/>
  <c r="G117" i="78"/>
  <c r="H116" i="78"/>
  <c r="G116" i="78"/>
  <c r="I115" i="78"/>
  <c r="H115" i="78"/>
  <c r="G115" i="78" s="1"/>
  <c r="G114" i="78" s="1"/>
  <c r="M114" i="78"/>
  <c r="L114" i="78"/>
  <c r="K114" i="78"/>
  <c r="J114" i="78"/>
  <c r="I114" i="78"/>
  <c r="G113" i="78"/>
  <c r="G112" i="78"/>
  <c r="G111" i="78"/>
  <c r="M110" i="78"/>
  <c r="L110" i="78"/>
  <c r="K110" i="78"/>
  <c r="J110" i="78"/>
  <c r="I110" i="78"/>
  <c r="H110" i="78"/>
  <c r="G110" i="78"/>
  <c r="G109" i="78"/>
  <c r="G108" i="78"/>
  <c r="G107" i="78"/>
  <c r="M106" i="78"/>
  <c r="L106" i="78"/>
  <c r="K106" i="78"/>
  <c r="J106" i="78"/>
  <c r="I106" i="78"/>
  <c r="H106" i="78"/>
  <c r="G106" i="78"/>
  <c r="G105" i="78"/>
  <c r="J104" i="78"/>
  <c r="I104" i="78"/>
  <c r="H104" i="78"/>
  <c r="G104" i="78" s="1"/>
  <c r="J103" i="78"/>
  <c r="I103" i="78"/>
  <c r="G103" i="78"/>
  <c r="G102" i="78" s="1"/>
  <c r="M102" i="78"/>
  <c r="L102" i="78"/>
  <c r="K102" i="78"/>
  <c r="J102" i="78"/>
  <c r="I102" i="78"/>
  <c r="H102" i="78"/>
  <c r="M101" i="78"/>
  <c r="L101" i="78"/>
  <c r="K101" i="78"/>
  <c r="J101" i="78"/>
  <c r="I101" i="78"/>
  <c r="H101" i="78"/>
  <c r="G101" i="78"/>
  <c r="M100" i="78"/>
  <c r="L100" i="78"/>
  <c r="K100" i="78"/>
  <c r="J100" i="78"/>
  <c r="I100" i="78"/>
  <c r="H100" i="78"/>
  <c r="G100" i="78" s="1"/>
  <c r="M99" i="78"/>
  <c r="M98" i="78" s="1"/>
  <c r="L99" i="78"/>
  <c r="K99" i="78"/>
  <c r="K98" i="78" s="1"/>
  <c r="J99" i="78"/>
  <c r="I99" i="78"/>
  <c r="I98" i="78" s="1"/>
  <c r="H99" i="78"/>
  <c r="G99" i="78"/>
  <c r="G98" i="78" s="1"/>
  <c r="L98" i="78"/>
  <c r="J98" i="78"/>
  <c r="H98" i="78"/>
  <c r="G97" i="78"/>
  <c r="G96" i="78"/>
  <c r="G95" i="78"/>
  <c r="G94" i="78" s="1"/>
  <c r="M94" i="78"/>
  <c r="L94" i="78"/>
  <c r="K94" i="78"/>
  <c r="J94" i="78"/>
  <c r="I94" i="78"/>
  <c r="H94" i="78"/>
  <c r="G93" i="78"/>
  <c r="G92" i="78"/>
  <c r="G91" i="78"/>
  <c r="G90" i="78" s="1"/>
  <c r="M90" i="78"/>
  <c r="L90" i="78"/>
  <c r="K90" i="78"/>
  <c r="J90" i="78"/>
  <c r="I90" i="78"/>
  <c r="H90" i="78"/>
  <c r="G89" i="78"/>
  <c r="M88" i="78"/>
  <c r="J88" i="78"/>
  <c r="I88" i="78"/>
  <c r="G88" i="78"/>
  <c r="I87" i="78"/>
  <c r="G87" i="78"/>
  <c r="G86" i="78" s="1"/>
  <c r="M86" i="78"/>
  <c r="L86" i="78"/>
  <c r="K86" i="78"/>
  <c r="J86" i="78"/>
  <c r="I86" i="78"/>
  <c r="H86" i="78"/>
  <c r="G85" i="78"/>
  <c r="G84" i="78"/>
  <c r="J83" i="78"/>
  <c r="I83" i="78"/>
  <c r="G83" i="78"/>
  <c r="G82" i="78" s="1"/>
  <c r="M82" i="78"/>
  <c r="L82" i="78"/>
  <c r="K82" i="78"/>
  <c r="J82" i="78"/>
  <c r="I82" i="78"/>
  <c r="H82" i="78"/>
  <c r="G81" i="78"/>
  <c r="J80" i="78"/>
  <c r="G80" i="78" s="1"/>
  <c r="J79" i="78"/>
  <c r="G79" i="78" s="1"/>
  <c r="G78" i="78" s="1"/>
  <c r="M78" i="78"/>
  <c r="L78" i="78"/>
  <c r="K78" i="78"/>
  <c r="I78" i="78"/>
  <c r="H78" i="78"/>
  <c r="G77" i="78"/>
  <c r="G76" i="78"/>
  <c r="I75" i="78"/>
  <c r="G75" i="78" s="1"/>
  <c r="G74" i="78" s="1"/>
  <c r="M74" i="78"/>
  <c r="L74" i="78"/>
  <c r="K74" i="78"/>
  <c r="J74" i="78"/>
  <c r="I74" i="78"/>
  <c r="H74" i="78"/>
  <c r="G73" i="78"/>
  <c r="G72" i="78"/>
  <c r="I71" i="78"/>
  <c r="G71" i="78"/>
  <c r="G70" i="78" s="1"/>
  <c r="M70" i="78"/>
  <c r="L70" i="78"/>
  <c r="K70" i="78"/>
  <c r="J70" i="78"/>
  <c r="I70" i="78"/>
  <c r="H70" i="78"/>
  <c r="G69" i="78"/>
  <c r="G68" i="78"/>
  <c r="G67" i="78"/>
  <c r="G66" i="78" s="1"/>
  <c r="M66" i="78"/>
  <c r="L66" i="78"/>
  <c r="K66" i="78"/>
  <c r="J66" i="78"/>
  <c r="I66" i="78"/>
  <c r="H66" i="78"/>
  <c r="G65" i="78"/>
  <c r="G64" i="78"/>
  <c r="J63" i="78"/>
  <c r="I63" i="78"/>
  <c r="G63" i="78"/>
  <c r="G62" i="78" s="1"/>
  <c r="M62" i="78"/>
  <c r="L62" i="78"/>
  <c r="K62" i="78"/>
  <c r="J62" i="78"/>
  <c r="I62" i="78"/>
  <c r="H62" i="78"/>
  <c r="G61" i="78"/>
  <c r="G60" i="78"/>
  <c r="G59" i="78"/>
  <c r="G58" i="78" s="1"/>
  <c r="M58" i="78"/>
  <c r="L58" i="78"/>
  <c r="K58" i="78"/>
  <c r="J58" i="78"/>
  <c r="I58" i="78"/>
  <c r="H58" i="78"/>
  <c r="G57" i="78"/>
  <c r="G56" i="78"/>
  <c r="G55" i="78"/>
  <c r="G54" i="78" s="1"/>
  <c r="M54" i="78"/>
  <c r="L54" i="78"/>
  <c r="K54" i="78"/>
  <c r="J54" i="78"/>
  <c r="I54" i="78"/>
  <c r="H54" i="78"/>
  <c r="G53" i="78"/>
  <c r="J52" i="78"/>
  <c r="I52" i="78"/>
  <c r="H52" i="78"/>
  <c r="G52" i="78"/>
  <c r="K51" i="78"/>
  <c r="I51" i="78"/>
  <c r="G51" i="78" s="1"/>
  <c r="G50" i="78" s="1"/>
  <c r="M50" i="78"/>
  <c r="L50" i="78"/>
  <c r="K50" i="78"/>
  <c r="J50" i="78"/>
  <c r="I50" i="78"/>
  <c r="H50" i="78"/>
  <c r="G49" i="78"/>
  <c r="G48" i="78"/>
  <c r="G47" i="78"/>
  <c r="M46" i="78"/>
  <c r="L46" i="78"/>
  <c r="K46" i="78"/>
  <c r="J46" i="78"/>
  <c r="I46" i="78"/>
  <c r="H46" i="78"/>
  <c r="G46" i="78"/>
  <c r="G45" i="78"/>
  <c r="O44" i="78"/>
  <c r="G44" i="78"/>
  <c r="G43" i="78"/>
  <c r="G42" i="78" s="1"/>
  <c r="M42" i="78"/>
  <c r="L42" i="78"/>
  <c r="K42" i="78"/>
  <c r="J42" i="78"/>
  <c r="I42" i="78"/>
  <c r="H42" i="78"/>
  <c r="G41" i="78"/>
  <c r="G38" i="78" s="1"/>
  <c r="G40" i="78"/>
  <c r="G39" i="78"/>
  <c r="M38" i="78"/>
  <c r="L38" i="78"/>
  <c r="K38" i="78"/>
  <c r="J38" i="78"/>
  <c r="I38" i="78"/>
  <c r="H38" i="78"/>
  <c r="M37" i="78"/>
  <c r="L37" i="78"/>
  <c r="K37" i="78"/>
  <c r="J37" i="78"/>
  <c r="I37" i="78"/>
  <c r="H37" i="78"/>
  <c r="G37" i="78" s="1"/>
  <c r="M36" i="78"/>
  <c r="L36" i="78"/>
  <c r="K36" i="78"/>
  <c r="J36" i="78"/>
  <c r="I36" i="78"/>
  <c r="H36" i="78"/>
  <c r="G36" i="78" s="1"/>
  <c r="M35" i="78"/>
  <c r="L35" i="78"/>
  <c r="L34" i="78" s="1"/>
  <c r="K35" i="78"/>
  <c r="J35" i="78"/>
  <c r="J34" i="78" s="1"/>
  <c r="I35" i="78"/>
  <c r="H35" i="78"/>
  <c r="G35" i="78" s="1"/>
  <c r="G34" i="78" s="1"/>
  <c r="M34" i="78"/>
  <c r="K34" i="78"/>
  <c r="I34" i="78"/>
  <c r="G33" i="78"/>
  <c r="G32" i="78"/>
  <c r="G31" i="78"/>
  <c r="M30" i="78"/>
  <c r="L30" i="78"/>
  <c r="K30" i="78"/>
  <c r="J30" i="78"/>
  <c r="I30" i="78"/>
  <c r="H30" i="78"/>
  <c r="G30" i="78"/>
  <c r="G29" i="78"/>
  <c r="M28" i="78"/>
  <c r="J28" i="78"/>
  <c r="G28" i="78"/>
  <c r="G27" i="78"/>
  <c r="M26" i="78"/>
  <c r="L26" i="78"/>
  <c r="K26" i="78"/>
  <c r="J26" i="78"/>
  <c r="I26" i="78"/>
  <c r="H26" i="78"/>
  <c r="G26" i="78"/>
  <c r="G25" i="78"/>
  <c r="G24" i="78"/>
  <c r="I23" i="78"/>
  <c r="G23" i="78"/>
  <c r="G22" i="78" s="1"/>
  <c r="M22" i="78"/>
  <c r="L22" i="78"/>
  <c r="K22" i="78"/>
  <c r="J22" i="78"/>
  <c r="I22" i="78"/>
  <c r="H22" i="78"/>
  <c r="G21" i="78"/>
  <c r="K20" i="78"/>
  <c r="J20" i="78"/>
  <c r="I20" i="78"/>
  <c r="H20" i="78"/>
  <c r="I19" i="78"/>
  <c r="M18" i="78"/>
  <c r="L18" i="78"/>
  <c r="K18" i="78"/>
  <c r="M17" i="78"/>
  <c r="L17" i="78"/>
  <c r="K17" i="78"/>
  <c r="J17" i="78"/>
  <c r="I17" i="78"/>
  <c r="H17" i="78"/>
  <c r="G17" i="78" s="1"/>
  <c r="M16" i="78"/>
  <c r="M12" i="78" s="1"/>
  <c r="L16" i="78"/>
  <c r="K16" i="78"/>
  <c r="K14" i="78" s="1"/>
  <c r="I16" i="78"/>
  <c r="M15" i="78"/>
  <c r="L15" i="78"/>
  <c r="L14" i="78" s="1"/>
  <c r="K15" i="78"/>
  <c r="J15" i="78"/>
  <c r="J11" i="78" s="1"/>
  <c r="H15" i="78"/>
  <c r="M14" i="78"/>
  <c r="M13" i="78"/>
  <c r="L13" i="78"/>
  <c r="K13" i="78"/>
  <c r="I13" i="78"/>
  <c r="H13" i="78"/>
  <c r="L12" i="78"/>
  <c r="I12" i="78"/>
  <c r="M11" i="78"/>
  <c r="M10" i="78" s="1"/>
  <c r="K11" i="78"/>
  <c r="H11" i="78"/>
  <c r="M6" i="78"/>
  <c r="L6" i="78"/>
  <c r="K6" i="78"/>
  <c r="J6" i="78"/>
  <c r="M5" i="78"/>
  <c r="L5" i="78"/>
  <c r="K5" i="78"/>
  <c r="J5" i="78"/>
  <c r="I5" i="78"/>
  <c r="J78" i="78" l="1"/>
  <c r="J129" i="78"/>
  <c r="J142" i="78"/>
  <c r="G142" i="78"/>
  <c r="G19" i="78"/>
  <c r="I15" i="78"/>
  <c r="I18" i="78"/>
  <c r="J311" i="78"/>
  <c r="L312" i="78"/>
  <c r="I313" i="78"/>
  <c r="K313" i="78"/>
  <c r="M313" i="78"/>
  <c r="L11" i="78"/>
  <c r="L10" i="78" s="1"/>
  <c r="K12" i="78"/>
  <c r="K10" i="78" s="1"/>
  <c r="G15" i="78"/>
  <c r="G20" i="78"/>
  <c r="H18" i="78"/>
  <c r="H16" i="78"/>
  <c r="J18" i="78"/>
  <c r="J16" i="78"/>
  <c r="G122" i="78"/>
  <c r="G158" i="78"/>
  <c r="G198" i="78"/>
  <c r="G286" i="78"/>
  <c r="K311" i="78"/>
  <c r="M311" i="78"/>
  <c r="I312" i="78"/>
  <c r="K312" i="78"/>
  <c r="M312" i="78"/>
  <c r="H313" i="78"/>
  <c r="L313" i="78"/>
  <c r="G304" i="78"/>
  <c r="G302" i="78" s="1"/>
  <c r="H34" i="78"/>
  <c r="AO37" i="78" s="1"/>
  <c r="H114" i="78"/>
  <c r="G129" i="78" l="1"/>
  <c r="G126" i="78" s="1"/>
  <c r="J13" i="78"/>
  <c r="J126" i="78"/>
  <c r="M310" i="78"/>
  <c r="M315" i="78" s="1"/>
  <c r="AO36" i="78"/>
  <c r="AO38" i="78"/>
  <c r="I14" i="78"/>
  <c r="I11" i="78"/>
  <c r="K310" i="78"/>
  <c r="K315" i="78" s="1"/>
  <c r="AO35" i="78"/>
  <c r="J14" i="78"/>
  <c r="J12" i="78"/>
  <c r="G16" i="78"/>
  <c r="G14" i="78" s="1"/>
  <c r="H14" i="78"/>
  <c r="H12" i="78"/>
  <c r="L311" i="78"/>
  <c r="L310" i="78" s="1"/>
  <c r="L315" i="78" s="1"/>
  <c r="G18" i="78"/>
  <c r="AO39" i="78" l="1"/>
  <c r="G13" i="78"/>
  <c r="J313" i="78"/>
  <c r="G313" i="78" s="1"/>
  <c r="J312" i="78"/>
  <c r="J310" i="78" s="1"/>
  <c r="J315" i="78" s="1"/>
  <c r="J10" i="78"/>
  <c r="G12" i="78"/>
  <c r="H10" i="78"/>
  <c r="H312" i="78"/>
  <c r="I10" i="78"/>
  <c r="G11" i="78"/>
  <c r="G10" i="78" s="1"/>
  <c r="I311" i="78"/>
  <c r="I310" i="78" l="1"/>
  <c r="I315" i="78" s="1"/>
  <c r="G311" i="78"/>
  <c r="G312" i="78"/>
  <c r="H310" i="78"/>
  <c r="G310" i="78" l="1"/>
  <c r="L314" i="74" l="1"/>
  <c r="M314" i="74"/>
  <c r="K314" i="74"/>
  <c r="K163" i="74"/>
  <c r="K175" i="74"/>
  <c r="K199" i="74"/>
  <c r="K208" i="74"/>
  <c r="K207" i="74"/>
  <c r="K211" i="74"/>
  <c r="K168" i="74"/>
  <c r="M314" i="76" l="1"/>
  <c r="L314" i="76"/>
  <c r="K314" i="76"/>
  <c r="J314" i="76"/>
  <c r="I314" i="76"/>
  <c r="G309" i="76"/>
  <c r="G308" i="76"/>
  <c r="G307" i="76"/>
  <c r="M306" i="76"/>
  <c r="L306" i="76"/>
  <c r="K306" i="76"/>
  <c r="J306" i="76"/>
  <c r="I306" i="76"/>
  <c r="H306" i="76"/>
  <c r="G306" i="76"/>
  <c r="M305" i="76"/>
  <c r="L305" i="76"/>
  <c r="K305" i="76"/>
  <c r="J305" i="76"/>
  <c r="I305" i="76"/>
  <c r="H305" i="76"/>
  <c r="G305" i="76" s="1"/>
  <c r="M304" i="76"/>
  <c r="L304" i="76"/>
  <c r="K304" i="76"/>
  <c r="J304" i="76"/>
  <c r="I304" i="76"/>
  <c r="H304" i="76"/>
  <c r="G304" i="76"/>
  <c r="M303" i="76"/>
  <c r="L303" i="76"/>
  <c r="L302" i="76" s="1"/>
  <c r="K303" i="76"/>
  <c r="J303" i="76"/>
  <c r="J302" i="76" s="1"/>
  <c r="I303" i="76"/>
  <c r="H303" i="76"/>
  <c r="K302" i="76"/>
  <c r="G301" i="76"/>
  <c r="G300" i="76"/>
  <c r="G299" i="76"/>
  <c r="M298" i="76"/>
  <c r="L298" i="76"/>
  <c r="K298" i="76"/>
  <c r="J298" i="76"/>
  <c r="I298" i="76"/>
  <c r="H298" i="76"/>
  <c r="G298" i="76"/>
  <c r="M297" i="76"/>
  <c r="L297" i="76"/>
  <c r="K297" i="76"/>
  <c r="J297" i="76"/>
  <c r="I297" i="76"/>
  <c r="H297" i="76"/>
  <c r="G297" i="76" s="1"/>
  <c r="M296" i="76"/>
  <c r="L296" i="76"/>
  <c r="K296" i="76"/>
  <c r="J296" i="76"/>
  <c r="I296" i="76"/>
  <c r="H296" i="76"/>
  <c r="G296" i="76"/>
  <c r="M295" i="76"/>
  <c r="L295" i="76"/>
  <c r="K295" i="76"/>
  <c r="J295" i="76"/>
  <c r="I295" i="76"/>
  <c r="H295" i="76"/>
  <c r="M294" i="76"/>
  <c r="K294" i="76"/>
  <c r="I294" i="76"/>
  <c r="G293" i="76"/>
  <c r="G292" i="76"/>
  <c r="J291" i="76"/>
  <c r="H291" i="76"/>
  <c r="M290" i="76"/>
  <c r="L290" i="76"/>
  <c r="K290" i="76"/>
  <c r="J290" i="76"/>
  <c r="I290" i="76"/>
  <c r="M289" i="76"/>
  <c r="L289" i="76"/>
  <c r="K289" i="76"/>
  <c r="J289" i="76"/>
  <c r="I289" i="76"/>
  <c r="H289" i="76"/>
  <c r="G289" i="76" s="1"/>
  <c r="M288" i="76"/>
  <c r="M286" i="76" s="1"/>
  <c r="L288" i="76"/>
  <c r="K288" i="76"/>
  <c r="J288" i="76"/>
  <c r="I288" i="76"/>
  <c r="I286" i="76" s="1"/>
  <c r="H288" i="76"/>
  <c r="G288" i="76"/>
  <c r="M287" i="76"/>
  <c r="L287" i="76"/>
  <c r="L286" i="76" s="1"/>
  <c r="K287" i="76"/>
  <c r="J287" i="76"/>
  <c r="J286" i="76" s="1"/>
  <c r="I287" i="76"/>
  <c r="H287" i="76"/>
  <c r="K286" i="76"/>
  <c r="G285" i="76"/>
  <c r="G284" i="76"/>
  <c r="G283" i="76"/>
  <c r="M282" i="76"/>
  <c r="L282" i="76"/>
  <c r="K282" i="76"/>
  <c r="J282" i="76"/>
  <c r="I282" i="76"/>
  <c r="H282" i="76"/>
  <c r="G282" i="76"/>
  <c r="G281" i="76"/>
  <c r="G280" i="76"/>
  <c r="G279" i="76"/>
  <c r="M278" i="76"/>
  <c r="L278" i="76"/>
  <c r="K278" i="76"/>
  <c r="J278" i="76"/>
  <c r="I278" i="76"/>
  <c r="H278" i="76"/>
  <c r="G278" i="76"/>
  <c r="G277" i="76"/>
  <c r="G276" i="76"/>
  <c r="G275" i="76"/>
  <c r="M274" i="76"/>
  <c r="L274" i="76"/>
  <c r="K274" i="76"/>
  <c r="J274" i="76"/>
  <c r="I274" i="76"/>
  <c r="H274" i="76"/>
  <c r="G274" i="76"/>
  <c r="G273" i="76"/>
  <c r="G272" i="76"/>
  <c r="G271" i="76"/>
  <c r="M270" i="76"/>
  <c r="L270" i="76"/>
  <c r="K270" i="76"/>
  <c r="J270" i="76"/>
  <c r="I270" i="76"/>
  <c r="H270" i="76"/>
  <c r="G270" i="76"/>
  <c r="G269" i="76"/>
  <c r="G268" i="76"/>
  <c r="G267" i="76"/>
  <c r="M266" i="76"/>
  <c r="L266" i="76"/>
  <c r="K266" i="76"/>
  <c r="J266" i="76"/>
  <c r="I266" i="76"/>
  <c r="H266" i="76"/>
  <c r="G266" i="76"/>
  <c r="G265" i="76"/>
  <c r="G264" i="76"/>
  <c r="G263" i="76"/>
  <c r="M262" i="76"/>
  <c r="L262" i="76"/>
  <c r="K262" i="76"/>
  <c r="J262" i="76"/>
  <c r="I262" i="76"/>
  <c r="H262" i="76"/>
  <c r="G262" i="76"/>
  <c r="G261" i="76"/>
  <c r="G260" i="76"/>
  <c r="J259" i="76"/>
  <c r="I259" i="76"/>
  <c r="G259" i="76" s="1"/>
  <c r="G258" i="76" s="1"/>
  <c r="M258" i="76"/>
  <c r="L258" i="76"/>
  <c r="K258" i="76"/>
  <c r="J258" i="76"/>
  <c r="H258" i="76"/>
  <c r="G257" i="76"/>
  <c r="G256" i="76"/>
  <c r="J255" i="76"/>
  <c r="J254" i="76" s="1"/>
  <c r="I255" i="76"/>
  <c r="M254" i="76"/>
  <c r="L254" i="76"/>
  <c r="K254" i="76"/>
  <c r="I254" i="76"/>
  <c r="H254" i="76"/>
  <c r="M253" i="76"/>
  <c r="L253" i="76"/>
  <c r="K253" i="76"/>
  <c r="J253" i="76"/>
  <c r="I253" i="76"/>
  <c r="H253" i="76"/>
  <c r="G253" i="76" s="1"/>
  <c r="M252" i="76"/>
  <c r="L252" i="76"/>
  <c r="K252" i="76"/>
  <c r="J252" i="76"/>
  <c r="I252" i="76"/>
  <c r="H252" i="76"/>
  <c r="G252" i="76"/>
  <c r="M251" i="76"/>
  <c r="L251" i="76"/>
  <c r="K251" i="76"/>
  <c r="J251" i="76"/>
  <c r="H251" i="76"/>
  <c r="M250" i="76"/>
  <c r="K250" i="76"/>
  <c r="G249" i="76"/>
  <c r="I248" i="76"/>
  <c r="G248" i="76" s="1"/>
  <c r="I247" i="76"/>
  <c r="M246" i="76"/>
  <c r="L246" i="76"/>
  <c r="K246" i="76"/>
  <c r="J246" i="76"/>
  <c r="I246" i="76"/>
  <c r="H246" i="76"/>
  <c r="G245" i="76"/>
  <c r="G244" i="76"/>
  <c r="J243" i="76"/>
  <c r="J242" i="76" s="1"/>
  <c r="I243" i="76"/>
  <c r="M242" i="76"/>
  <c r="L242" i="76"/>
  <c r="K242" i="76"/>
  <c r="H242" i="76"/>
  <c r="G241" i="76"/>
  <c r="G240" i="76"/>
  <c r="G239" i="76"/>
  <c r="M238" i="76"/>
  <c r="L238" i="76"/>
  <c r="K238" i="76"/>
  <c r="J238" i="76"/>
  <c r="I238" i="76"/>
  <c r="H238" i="76"/>
  <c r="G238" i="76"/>
  <c r="G237" i="76"/>
  <c r="G236" i="76"/>
  <c r="J235" i="76"/>
  <c r="J234" i="76" s="1"/>
  <c r="H235" i="76"/>
  <c r="M234" i="76"/>
  <c r="L234" i="76"/>
  <c r="K234" i="76"/>
  <c r="I234" i="76"/>
  <c r="G233" i="76"/>
  <c r="G232" i="76"/>
  <c r="J231" i="76"/>
  <c r="H231" i="76"/>
  <c r="M230" i="76"/>
  <c r="L230" i="76"/>
  <c r="K230" i="76"/>
  <c r="J230" i="76"/>
  <c r="I230" i="76"/>
  <c r="M229" i="76"/>
  <c r="L229" i="76"/>
  <c r="K229" i="76"/>
  <c r="J229" i="76"/>
  <c r="I229" i="76"/>
  <c r="H229" i="76"/>
  <c r="G229" i="76" s="1"/>
  <c r="M228" i="76"/>
  <c r="L228" i="76"/>
  <c r="K228" i="76"/>
  <c r="K226" i="76" s="1"/>
  <c r="J228" i="76"/>
  <c r="I228" i="76"/>
  <c r="H228" i="76"/>
  <c r="G228" i="76"/>
  <c r="M227" i="76"/>
  <c r="L227" i="76"/>
  <c r="L226" i="76" s="1"/>
  <c r="K227" i="76"/>
  <c r="J227" i="76"/>
  <c r="J226" i="76" s="1"/>
  <c r="H227" i="76"/>
  <c r="M226" i="76"/>
  <c r="G225" i="76"/>
  <c r="G224" i="76"/>
  <c r="G223" i="76"/>
  <c r="M222" i="76"/>
  <c r="L222" i="76"/>
  <c r="K222" i="76"/>
  <c r="J222" i="76"/>
  <c r="I222" i="76"/>
  <c r="H222" i="76"/>
  <c r="G222" i="76"/>
  <c r="G221" i="76"/>
  <c r="G220" i="76"/>
  <c r="G219" i="76"/>
  <c r="M218" i="76"/>
  <c r="L218" i="76"/>
  <c r="K218" i="76"/>
  <c r="J218" i="76"/>
  <c r="I218" i="76"/>
  <c r="H218" i="76"/>
  <c r="G218" i="76"/>
  <c r="G217" i="76"/>
  <c r="G216" i="76"/>
  <c r="G215" i="76"/>
  <c r="M214" i="76"/>
  <c r="L214" i="76"/>
  <c r="K214" i="76"/>
  <c r="J214" i="76"/>
  <c r="I214" i="76"/>
  <c r="H214" i="76"/>
  <c r="G214" i="76"/>
  <c r="P213" i="76"/>
  <c r="G213" i="76"/>
  <c r="G212" i="76"/>
  <c r="J211" i="76"/>
  <c r="H211" i="76"/>
  <c r="G211" i="76"/>
  <c r="G210" i="76" s="1"/>
  <c r="M210" i="76"/>
  <c r="L210" i="76"/>
  <c r="K210" i="76"/>
  <c r="J210" i="76"/>
  <c r="I210" i="76"/>
  <c r="H210" i="76"/>
  <c r="G209" i="76"/>
  <c r="G208" i="76"/>
  <c r="I207" i="76"/>
  <c r="I206" i="76" s="1"/>
  <c r="H207" i="76"/>
  <c r="G207" i="76"/>
  <c r="G206" i="76" s="1"/>
  <c r="M206" i="76"/>
  <c r="L206" i="76"/>
  <c r="K206" i="76"/>
  <c r="J206" i="76"/>
  <c r="H206" i="76"/>
  <c r="G205" i="76"/>
  <c r="G204" i="76"/>
  <c r="G203" i="76"/>
  <c r="G202" i="76" s="1"/>
  <c r="M202" i="76"/>
  <c r="L202" i="76"/>
  <c r="K202" i="76"/>
  <c r="J202" i="76"/>
  <c r="I202" i="76"/>
  <c r="H202" i="76"/>
  <c r="G201" i="76"/>
  <c r="J200" i="76"/>
  <c r="G200" i="76"/>
  <c r="J199" i="76"/>
  <c r="H199" i="76"/>
  <c r="M198" i="76"/>
  <c r="L198" i="76"/>
  <c r="K198" i="76"/>
  <c r="J198" i="76"/>
  <c r="I198" i="76"/>
  <c r="G197" i="76"/>
  <c r="H196" i="76"/>
  <c r="G196" i="76" s="1"/>
  <c r="H195" i="76"/>
  <c r="W194" i="76"/>
  <c r="M194" i="76"/>
  <c r="L194" i="76"/>
  <c r="K194" i="76"/>
  <c r="J194" i="76"/>
  <c r="I194" i="76"/>
  <c r="G193" i="76"/>
  <c r="G192" i="76"/>
  <c r="G191" i="76"/>
  <c r="G190" i="76" s="1"/>
  <c r="M190" i="76"/>
  <c r="L190" i="76"/>
  <c r="J190" i="76"/>
  <c r="I190" i="76"/>
  <c r="G189" i="76"/>
  <c r="G188" i="76"/>
  <c r="G187" i="76"/>
  <c r="G186" i="76" s="1"/>
  <c r="M186" i="76"/>
  <c r="L186" i="76"/>
  <c r="K186" i="76"/>
  <c r="J186" i="76"/>
  <c r="I186" i="76"/>
  <c r="H186" i="76"/>
  <c r="G185" i="76"/>
  <c r="G184" i="76"/>
  <c r="G183" i="76"/>
  <c r="G182" i="76" s="1"/>
  <c r="M182" i="76"/>
  <c r="L182" i="76"/>
  <c r="K182" i="76"/>
  <c r="J182" i="76"/>
  <c r="I182" i="76"/>
  <c r="H182" i="76"/>
  <c r="G181" i="76"/>
  <c r="G180" i="76"/>
  <c r="Q179" i="76"/>
  <c r="P179" i="76"/>
  <c r="I179" i="76"/>
  <c r="G179" i="76" s="1"/>
  <c r="M178" i="76"/>
  <c r="L178" i="76"/>
  <c r="K178" i="76"/>
  <c r="J178" i="76"/>
  <c r="I178" i="76"/>
  <c r="H178" i="76"/>
  <c r="G178" i="76"/>
  <c r="G177" i="76"/>
  <c r="I176" i="76"/>
  <c r="G175" i="76"/>
  <c r="M174" i="76"/>
  <c r="L174" i="76"/>
  <c r="K174" i="76"/>
  <c r="J174" i="76"/>
  <c r="H174" i="76"/>
  <c r="G173" i="76"/>
  <c r="G172" i="76"/>
  <c r="Q171" i="76"/>
  <c r="P171" i="76"/>
  <c r="G171" i="76"/>
  <c r="G170" i="76" s="1"/>
  <c r="M170" i="76"/>
  <c r="L170" i="76"/>
  <c r="K170" i="76"/>
  <c r="J170" i="76"/>
  <c r="I170" i="76"/>
  <c r="H170" i="76"/>
  <c r="G169" i="76"/>
  <c r="G168" i="76"/>
  <c r="Q167" i="76"/>
  <c r="P167" i="76"/>
  <c r="K167" i="76"/>
  <c r="G167" i="76" s="1"/>
  <c r="G166" i="76" s="1"/>
  <c r="M166" i="76"/>
  <c r="L166" i="76"/>
  <c r="J166" i="76"/>
  <c r="I166" i="76"/>
  <c r="H166" i="76"/>
  <c r="G165" i="76"/>
  <c r="K164" i="76"/>
  <c r="J164" i="76"/>
  <c r="H164" i="76"/>
  <c r="G164" i="76" s="1"/>
  <c r="Q163" i="76"/>
  <c r="P163" i="76"/>
  <c r="L163" i="76"/>
  <c r="L159" i="76" s="1"/>
  <c r="L158" i="76" s="1"/>
  <c r="K163" i="76"/>
  <c r="J163" i="76"/>
  <c r="J159" i="76" s="1"/>
  <c r="I163" i="76"/>
  <c r="G163" i="76"/>
  <c r="G162" i="76" s="1"/>
  <c r="M162" i="76"/>
  <c r="L162" i="76"/>
  <c r="I162" i="76"/>
  <c r="H162" i="76"/>
  <c r="M161" i="76"/>
  <c r="L161" i="76"/>
  <c r="K161" i="76"/>
  <c r="J161" i="76"/>
  <c r="I161" i="76"/>
  <c r="H161" i="76"/>
  <c r="G161" i="76"/>
  <c r="M160" i="76"/>
  <c r="L160" i="76"/>
  <c r="J160" i="76"/>
  <c r="H160" i="76"/>
  <c r="M159" i="76"/>
  <c r="K159" i="76"/>
  <c r="J158" i="76"/>
  <c r="G157" i="76"/>
  <c r="G156" i="76"/>
  <c r="G155" i="76"/>
  <c r="M154" i="76"/>
  <c r="L154" i="76"/>
  <c r="K154" i="76"/>
  <c r="J154" i="76"/>
  <c r="I154" i="76"/>
  <c r="H154" i="76"/>
  <c r="G154" i="76"/>
  <c r="G153" i="76"/>
  <c r="G152" i="76"/>
  <c r="G151" i="76"/>
  <c r="M150" i="76"/>
  <c r="L150" i="76"/>
  <c r="K150" i="76"/>
  <c r="J150" i="76"/>
  <c r="I150" i="76"/>
  <c r="H150" i="76"/>
  <c r="G150" i="76"/>
  <c r="G149" i="76"/>
  <c r="G148" i="76"/>
  <c r="G147" i="76"/>
  <c r="M146" i="76"/>
  <c r="L146" i="76"/>
  <c r="K146" i="76"/>
  <c r="J146" i="76"/>
  <c r="I146" i="76"/>
  <c r="H146" i="76"/>
  <c r="G146" i="76"/>
  <c r="J145" i="76"/>
  <c r="G145" i="76" s="1"/>
  <c r="J144" i="76"/>
  <c r="H144" i="76"/>
  <c r="J143" i="76"/>
  <c r="G143" i="76" s="1"/>
  <c r="M142" i="76"/>
  <c r="L142" i="76"/>
  <c r="K142" i="76"/>
  <c r="I142" i="76"/>
  <c r="G141" i="76"/>
  <c r="J140" i="76"/>
  <c r="G140" i="76" s="1"/>
  <c r="J139" i="76"/>
  <c r="I139" i="76"/>
  <c r="G139" i="76"/>
  <c r="M138" i="76"/>
  <c r="L138" i="76"/>
  <c r="K138" i="76"/>
  <c r="J138" i="76"/>
  <c r="I138" i="76"/>
  <c r="H138" i="76"/>
  <c r="G137" i="76"/>
  <c r="G136" i="76"/>
  <c r="I135" i="76"/>
  <c r="G135" i="76" s="1"/>
  <c r="G134" i="76" s="1"/>
  <c r="M134" i="76"/>
  <c r="L134" i="76"/>
  <c r="K134" i="76"/>
  <c r="J134" i="76"/>
  <c r="I134" i="76"/>
  <c r="H134" i="76"/>
  <c r="G133" i="76"/>
  <c r="G132" i="76"/>
  <c r="J131" i="76"/>
  <c r="I131" i="76"/>
  <c r="G131" i="76" s="1"/>
  <c r="G130" i="76" s="1"/>
  <c r="M130" i="76"/>
  <c r="L130" i="76"/>
  <c r="K130" i="76"/>
  <c r="J130" i="76"/>
  <c r="I130" i="76"/>
  <c r="H130" i="76"/>
  <c r="M129" i="76"/>
  <c r="L129" i="76"/>
  <c r="K129" i="76"/>
  <c r="I129" i="76"/>
  <c r="H129" i="76"/>
  <c r="M128" i="76"/>
  <c r="L128" i="76"/>
  <c r="K128" i="76"/>
  <c r="I128" i="76"/>
  <c r="M127" i="76"/>
  <c r="L127" i="76"/>
  <c r="L126" i="76" s="1"/>
  <c r="K127" i="76"/>
  <c r="J127" i="76"/>
  <c r="H127" i="76"/>
  <c r="M126" i="76"/>
  <c r="K126" i="76"/>
  <c r="G125" i="76"/>
  <c r="J124" i="76"/>
  <c r="I124" i="76"/>
  <c r="H124" i="76"/>
  <c r="G124" i="76" s="1"/>
  <c r="G123" i="76"/>
  <c r="G122" i="76" s="1"/>
  <c r="M122" i="76"/>
  <c r="L122" i="76"/>
  <c r="K122" i="76"/>
  <c r="J122" i="76"/>
  <c r="I122" i="76"/>
  <c r="H122" i="76"/>
  <c r="G121" i="76"/>
  <c r="G120" i="76"/>
  <c r="I119" i="76"/>
  <c r="I118" i="76" s="1"/>
  <c r="H119" i="76"/>
  <c r="G119" i="76"/>
  <c r="G118" i="76" s="1"/>
  <c r="M118" i="76"/>
  <c r="L118" i="76"/>
  <c r="K118" i="76"/>
  <c r="J118" i="76"/>
  <c r="H118" i="76"/>
  <c r="G117" i="76"/>
  <c r="H116" i="76"/>
  <c r="G116" i="76"/>
  <c r="I115" i="76"/>
  <c r="H115" i="76"/>
  <c r="G115" i="76" s="1"/>
  <c r="G114" i="76" s="1"/>
  <c r="M114" i="76"/>
  <c r="L114" i="76"/>
  <c r="K114" i="76"/>
  <c r="J114" i="76"/>
  <c r="I114" i="76"/>
  <c r="G113" i="76"/>
  <c r="G112" i="76"/>
  <c r="G111" i="76"/>
  <c r="M110" i="76"/>
  <c r="L110" i="76"/>
  <c r="K110" i="76"/>
  <c r="J110" i="76"/>
  <c r="I110" i="76"/>
  <c r="H110" i="76"/>
  <c r="G110" i="76"/>
  <c r="G109" i="76"/>
  <c r="G108" i="76"/>
  <c r="G107" i="76"/>
  <c r="M106" i="76"/>
  <c r="L106" i="76"/>
  <c r="K106" i="76"/>
  <c r="J106" i="76"/>
  <c r="I106" i="76"/>
  <c r="H106" i="76"/>
  <c r="G106" i="76"/>
  <c r="G105" i="76"/>
  <c r="J104" i="76"/>
  <c r="I104" i="76"/>
  <c r="H104" i="76"/>
  <c r="G104" i="76" s="1"/>
  <c r="J103" i="76"/>
  <c r="J99" i="76" s="1"/>
  <c r="I103" i="76"/>
  <c r="G103" i="76"/>
  <c r="M102" i="76"/>
  <c r="L102" i="76"/>
  <c r="K102" i="76"/>
  <c r="J102" i="76"/>
  <c r="I102" i="76"/>
  <c r="H102" i="76"/>
  <c r="M101" i="76"/>
  <c r="M13" i="76" s="1"/>
  <c r="L101" i="76"/>
  <c r="K101" i="76"/>
  <c r="K13" i="76" s="1"/>
  <c r="J101" i="76"/>
  <c r="I101" i="76"/>
  <c r="I13" i="76" s="1"/>
  <c r="H101" i="76"/>
  <c r="G101" i="76"/>
  <c r="M100" i="76"/>
  <c r="L100" i="76"/>
  <c r="K100" i="76"/>
  <c r="J100" i="76"/>
  <c r="I100" i="76"/>
  <c r="H100" i="76"/>
  <c r="G100" i="76" s="1"/>
  <c r="M99" i="76"/>
  <c r="M98" i="76" s="1"/>
  <c r="L99" i="76"/>
  <c r="K99" i="76"/>
  <c r="K98" i="76" s="1"/>
  <c r="I99" i="76"/>
  <c r="I98" i="76" s="1"/>
  <c r="L98" i="76"/>
  <c r="G97" i="76"/>
  <c r="G96" i="76"/>
  <c r="G95" i="76"/>
  <c r="G94" i="76" s="1"/>
  <c r="M94" i="76"/>
  <c r="L94" i="76"/>
  <c r="K94" i="76"/>
  <c r="J94" i="76"/>
  <c r="I94" i="76"/>
  <c r="H94" i="76"/>
  <c r="G93" i="76"/>
  <c r="G92" i="76"/>
  <c r="G91" i="76"/>
  <c r="G90" i="76" s="1"/>
  <c r="M90" i="76"/>
  <c r="L90" i="76"/>
  <c r="K90" i="76"/>
  <c r="J90" i="76"/>
  <c r="I90" i="76"/>
  <c r="H90" i="76"/>
  <c r="G89" i="76"/>
  <c r="J88" i="76"/>
  <c r="I88" i="76"/>
  <c r="G88" i="76" s="1"/>
  <c r="I87" i="76"/>
  <c r="G87" i="76" s="1"/>
  <c r="M86" i="76"/>
  <c r="L86" i="76"/>
  <c r="K86" i="76"/>
  <c r="J86" i="76"/>
  <c r="I86" i="76"/>
  <c r="H86" i="76"/>
  <c r="G85" i="76"/>
  <c r="G84" i="76"/>
  <c r="J83" i="76"/>
  <c r="I83" i="76"/>
  <c r="G83" i="76" s="1"/>
  <c r="G82" i="76" s="1"/>
  <c r="M82" i="76"/>
  <c r="L82" i="76"/>
  <c r="K82" i="76"/>
  <c r="J82" i="76"/>
  <c r="I82" i="76"/>
  <c r="H82" i="76"/>
  <c r="G81" i="76"/>
  <c r="J80" i="76"/>
  <c r="G80" i="76" s="1"/>
  <c r="J79" i="76"/>
  <c r="G79" i="76" s="1"/>
  <c r="M78" i="76"/>
  <c r="L78" i="76"/>
  <c r="K78" i="76"/>
  <c r="I78" i="76"/>
  <c r="H78" i="76"/>
  <c r="G77" i="76"/>
  <c r="G76" i="76"/>
  <c r="I75" i="76"/>
  <c r="G75" i="76"/>
  <c r="G74" i="76" s="1"/>
  <c r="M74" i="76"/>
  <c r="L74" i="76"/>
  <c r="K74" i="76"/>
  <c r="J74" i="76"/>
  <c r="I74" i="76"/>
  <c r="H74" i="76"/>
  <c r="G73" i="76"/>
  <c r="G72" i="76"/>
  <c r="I71" i="76"/>
  <c r="G71" i="76" s="1"/>
  <c r="G70" i="76" s="1"/>
  <c r="M70" i="76"/>
  <c r="L70" i="76"/>
  <c r="K70" i="76"/>
  <c r="J70" i="76"/>
  <c r="I70" i="76"/>
  <c r="H70" i="76"/>
  <c r="G69" i="76"/>
  <c r="G68" i="76"/>
  <c r="G67" i="76"/>
  <c r="M66" i="76"/>
  <c r="L66" i="76"/>
  <c r="K66" i="76"/>
  <c r="J66" i="76"/>
  <c r="I66" i="76"/>
  <c r="H66" i="76"/>
  <c r="G66" i="76"/>
  <c r="G65" i="76"/>
  <c r="G64" i="76"/>
  <c r="J63" i="76"/>
  <c r="I63" i="76"/>
  <c r="G63" i="76" s="1"/>
  <c r="G62" i="76" s="1"/>
  <c r="M62" i="76"/>
  <c r="L62" i="76"/>
  <c r="K62" i="76"/>
  <c r="J62" i="76"/>
  <c r="I62" i="76"/>
  <c r="H62" i="76"/>
  <c r="G61" i="76"/>
  <c r="G60" i="76"/>
  <c r="G59" i="76"/>
  <c r="M58" i="76"/>
  <c r="L58" i="76"/>
  <c r="K58" i="76"/>
  <c r="J58" i="76"/>
  <c r="I58" i="76"/>
  <c r="H58" i="76"/>
  <c r="G58" i="76"/>
  <c r="G57" i="76"/>
  <c r="G56" i="76"/>
  <c r="G55" i="76"/>
  <c r="M54" i="76"/>
  <c r="L54" i="76"/>
  <c r="K54" i="76"/>
  <c r="J54" i="76"/>
  <c r="I54" i="76"/>
  <c r="H54" i="76"/>
  <c r="G54" i="76"/>
  <c r="G53" i="76"/>
  <c r="J52" i="76"/>
  <c r="J50" i="76" s="1"/>
  <c r="I52" i="76"/>
  <c r="H52" i="76"/>
  <c r="G52" i="76" s="1"/>
  <c r="I51" i="76"/>
  <c r="G51" i="76" s="1"/>
  <c r="M50" i="76"/>
  <c r="L50" i="76"/>
  <c r="K50" i="76"/>
  <c r="I50" i="76"/>
  <c r="G49" i="76"/>
  <c r="G48" i="76"/>
  <c r="G47" i="76"/>
  <c r="M46" i="76"/>
  <c r="L46" i="76"/>
  <c r="K46" i="76"/>
  <c r="J46" i="76"/>
  <c r="I46" i="76"/>
  <c r="H46" i="76"/>
  <c r="G46" i="76"/>
  <c r="G45" i="76"/>
  <c r="O44" i="76"/>
  <c r="G44" i="76"/>
  <c r="G43" i="76"/>
  <c r="G42" i="76" s="1"/>
  <c r="M42" i="76"/>
  <c r="L42" i="76"/>
  <c r="K42" i="76"/>
  <c r="J42" i="76"/>
  <c r="I42" i="76"/>
  <c r="H42" i="76"/>
  <c r="G41" i="76"/>
  <c r="G38" i="76" s="1"/>
  <c r="G40" i="76"/>
  <c r="G39" i="76"/>
  <c r="M38" i="76"/>
  <c r="L38" i="76"/>
  <c r="K38" i="76"/>
  <c r="J38" i="76"/>
  <c r="I38" i="76"/>
  <c r="H38" i="76"/>
  <c r="M37" i="76"/>
  <c r="L37" i="76"/>
  <c r="K37" i="76"/>
  <c r="J37" i="76"/>
  <c r="I37" i="76"/>
  <c r="H37" i="76"/>
  <c r="G37" i="76" s="1"/>
  <c r="M36" i="76"/>
  <c r="L36" i="76"/>
  <c r="L12" i="76" s="1"/>
  <c r="K36" i="76"/>
  <c r="H36" i="76"/>
  <c r="M35" i="76"/>
  <c r="L35" i="76"/>
  <c r="K35" i="76"/>
  <c r="H35" i="76"/>
  <c r="M34" i="76"/>
  <c r="K34" i="76"/>
  <c r="G33" i="76"/>
  <c r="G32" i="76"/>
  <c r="G31" i="76"/>
  <c r="M30" i="76"/>
  <c r="L30" i="76"/>
  <c r="K30" i="76"/>
  <c r="J30" i="76"/>
  <c r="I30" i="76"/>
  <c r="H30" i="76"/>
  <c r="G30" i="76"/>
  <c r="G29" i="76"/>
  <c r="J28" i="76"/>
  <c r="G28" i="76" s="1"/>
  <c r="G27" i="76"/>
  <c r="M26" i="76"/>
  <c r="L26" i="76"/>
  <c r="K26" i="76"/>
  <c r="I26" i="76"/>
  <c r="H26" i="76"/>
  <c r="G25" i="76"/>
  <c r="G24" i="76"/>
  <c r="I23" i="76"/>
  <c r="G23" i="76" s="1"/>
  <c r="G22" i="76" s="1"/>
  <c r="M22" i="76"/>
  <c r="L22" i="76"/>
  <c r="K22" i="76"/>
  <c r="J22" i="76"/>
  <c r="H22" i="76"/>
  <c r="G21" i="76"/>
  <c r="J20" i="76"/>
  <c r="I20" i="76"/>
  <c r="H20" i="76"/>
  <c r="I19" i="76"/>
  <c r="M18" i="76"/>
  <c r="L18" i="76"/>
  <c r="K18" i="76"/>
  <c r="I18" i="76"/>
  <c r="M17" i="76"/>
  <c r="L17" i="76"/>
  <c r="K17" i="76"/>
  <c r="J17" i="76"/>
  <c r="I17" i="76"/>
  <c r="H17" i="76"/>
  <c r="G17" i="76" s="1"/>
  <c r="M16" i="76"/>
  <c r="M12" i="76" s="1"/>
  <c r="L16" i="76"/>
  <c r="K16" i="76"/>
  <c r="K14" i="76" s="1"/>
  <c r="I16" i="76"/>
  <c r="M15" i="76"/>
  <c r="L15" i="76"/>
  <c r="L14" i="76" s="1"/>
  <c r="K15" i="76"/>
  <c r="J15" i="76"/>
  <c r="H15" i="76"/>
  <c r="M14" i="76"/>
  <c r="L13" i="76"/>
  <c r="H13" i="76"/>
  <c r="K12" i="76"/>
  <c r="M6" i="76"/>
  <c r="L6" i="76"/>
  <c r="K6" i="76"/>
  <c r="M5" i="76"/>
  <c r="L5" i="76"/>
  <c r="K5" i="76"/>
  <c r="J5" i="76"/>
  <c r="I5" i="76"/>
  <c r="J36" i="76" l="1"/>
  <c r="J13" i="76"/>
  <c r="G78" i="76"/>
  <c r="G129" i="76"/>
  <c r="J129" i="76"/>
  <c r="G243" i="76"/>
  <c r="G242" i="76" s="1"/>
  <c r="J35" i="76"/>
  <c r="J11" i="76" s="1"/>
  <c r="J98" i="76"/>
  <c r="G144" i="76"/>
  <c r="G142" i="76" s="1"/>
  <c r="G13" i="76"/>
  <c r="G19" i="76"/>
  <c r="I15" i="76"/>
  <c r="G35" i="76"/>
  <c r="H34" i="76"/>
  <c r="M312" i="76"/>
  <c r="J6" i="76"/>
  <c r="H11" i="76"/>
  <c r="L11" i="76"/>
  <c r="L10" i="76" s="1"/>
  <c r="G15" i="76"/>
  <c r="G20" i="76"/>
  <c r="H18" i="76"/>
  <c r="H16" i="76"/>
  <c r="J18" i="76"/>
  <c r="J16" i="76"/>
  <c r="I22" i="76"/>
  <c r="J26" i="76"/>
  <c r="G26" i="76"/>
  <c r="L34" i="76"/>
  <c r="G50" i="76"/>
  <c r="G86" i="76"/>
  <c r="G102" i="76"/>
  <c r="G138" i="76"/>
  <c r="L313" i="76"/>
  <c r="J313" i="76"/>
  <c r="G160" i="76"/>
  <c r="G176" i="76"/>
  <c r="I174" i="76"/>
  <c r="I160" i="76"/>
  <c r="G195" i="76"/>
  <c r="G194" i="76" s="1"/>
  <c r="H159" i="76"/>
  <c r="G251" i="76"/>
  <c r="G250" i="76" s="1"/>
  <c r="H250" i="76"/>
  <c r="G287" i="76"/>
  <c r="G286" i="76" s="1"/>
  <c r="H286" i="76"/>
  <c r="G303" i="76"/>
  <c r="G302" i="76" s="1"/>
  <c r="H302" i="76"/>
  <c r="I313" i="76"/>
  <c r="K313" i="76"/>
  <c r="M313" i="76"/>
  <c r="J311" i="76"/>
  <c r="H313" i="76"/>
  <c r="K11" i="76"/>
  <c r="K10" i="76" s="1"/>
  <c r="M11" i="76"/>
  <c r="M10" i="76" s="1"/>
  <c r="I35" i="76"/>
  <c r="I36" i="76"/>
  <c r="I12" i="76" s="1"/>
  <c r="I312" i="76" s="1"/>
  <c r="H50" i="76"/>
  <c r="J78" i="76"/>
  <c r="H99" i="76"/>
  <c r="H114" i="76"/>
  <c r="I127" i="76"/>
  <c r="I126" i="76" s="1"/>
  <c r="H128" i="76"/>
  <c r="J128" i="76"/>
  <c r="J126" i="76" s="1"/>
  <c r="H142" i="76"/>
  <c r="J142" i="76"/>
  <c r="I159" i="76"/>
  <c r="I158" i="76" s="1"/>
  <c r="M158" i="76"/>
  <c r="J162" i="76"/>
  <c r="K162" i="76"/>
  <c r="K160" i="76"/>
  <c r="K312" i="76" s="1"/>
  <c r="K166" i="76"/>
  <c r="G174" i="76"/>
  <c r="H194" i="76"/>
  <c r="G199" i="76"/>
  <c r="G198" i="76" s="1"/>
  <c r="H198" i="76"/>
  <c r="H226" i="76"/>
  <c r="G231" i="76"/>
  <c r="G230" i="76" s="1"/>
  <c r="H230" i="76"/>
  <c r="G235" i="76"/>
  <c r="G234" i="76" s="1"/>
  <c r="H234" i="76"/>
  <c r="I242" i="76"/>
  <c r="G247" i="76"/>
  <c r="G246" i="76" s="1"/>
  <c r="I227" i="76"/>
  <c r="I226" i="76" s="1"/>
  <c r="J250" i="76"/>
  <c r="L250" i="76"/>
  <c r="G255" i="76"/>
  <c r="G254" i="76" s="1"/>
  <c r="I251" i="76"/>
  <c r="I250" i="76" s="1"/>
  <c r="I258" i="76"/>
  <c r="G291" i="76"/>
  <c r="G290" i="76" s="1"/>
  <c r="H290" i="76"/>
  <c r="G295" i="76"/>
  <c r="G294" i="76" s="1"/>
  <c r="H294" i="76"/>
  <c r="J294" i="76"/>
  <c r="L294" i="76"/>
  <c r="I302" i="76"/>
  <c r="M302" i="76"/>
  <c r="K311" i="76"/>
  <c r="L312" i="76"/>
  <c r="L311" i="76"/>
  <c r="L310" i="76" s="1"/>
  <c r="L315" i="76" s="1"/>
  <c r="G313" i="76" l="1"/>
  <c r="J34" i="76"/>
  <c r="K310" i="76"/>
  <c r="K315" i="76" s="1"/>
  <c r="J12" i="76"/>
  <c r="H12" i="76"/>
  <c r="G16" i="76"/>
  <c r="G14" i="76" s="1"/>
  <c r="G11" i="76"/>
  <c r="H10" i="76"/>
  <c r="G36" i="76"/>
  <c r="G34" i="76" s="1"/>
  <c r="G18" i="76"/>
  <c r="H311" i="76"/>
  <c r="M311" i="76"/>
  <c r="M310" i="76" s="1"/>
  <c r="M315" i="76" s="1"/>
  <c r="G227" i="76"/>
  <c r="G226" i="76" s="1"/>
  <c r="G128" i="76"/>
  <c r="H126" i="76"/>
  <c r="G99" i="76"/>
  <c r="G98" i="76" s="1"/>
  <c r="H98" i="76"/>
  <c r="I34" i="76"/>
  <c r="H158" i="76"/>
  <c r="G159" i="76"/>
  <c r="G158" i="76" s="1"/>
  <c r="K158" i="76"/>
  <c r="G127" i="76"/>
  <c r="H14" i="76"/>
  <c r="I11" i="76"/>
  <c r="I14" i="76"/>
  <c r="J14" i="76"/>
  <c r="AO38" i="76" l="1"/>
  <c r="AO36" i="76"/>
  <c r="AO35" i="76"/>
  <c r="AO37" i="76"/>
  <c r="J10" i="76"/>
  <c r="J312" i="76"/>
  <c r="J310" i="76" s="1"/>
  <c r="J315" i="76" s="1"/>
  <c r="I10" i="76"/>
  <c r="I311" i="76"/>
  <c r="I310" i="76" s="1"/>
  <c r="I315" i="76" s="1"/>
  <c r="G126" i="76"/>
  <c r="G311" i="76"/>
  <c r="G12" i="76"/>
  <c r="G10" i="76" s="1"/>
  <c r="H312" i="76"/>
  <c r="G312" i="76" s="1"/>
  <c r="H310" i="76" l="1"/>
  <c r="G310" i="76"/>
  <c r="AO39" i="76"/>
  <c r="K164" i="74" l="1"/>
  <c r="M124" i="74"/>
  <c r="M88" i="74"/>
  <c r="K51" i="74"/>
  <c r="M28" i="74"/>
  <c r="K20" i="74"/>
  <c r="H159" i="74" l="1"/>
  <c r="I159" i="74" l="1"/>
  <c r="K159" i="74"/>
  <c r="L159" i="74"/>
  <c r="L158" i="74" s="1"/>
  <c r="M159" i="74"/>
  <c r="I160" i="74"/>
  <c r="K160" i="74"/>
  <c r="L160" i="74"/>
  <c r="M160" i="74"/>
  <c r="M158" i="74" s="1"/>
  <c r="I161" i="74"/>
  <c r="J161" i="74"/>
  <c r="K161" i="74"/>
  <c r="L161" i="74"/>
  <c r="M161" i="74"/>
  <c r="H160" i="74"/>
  <c r="H161" i="74"/>
  <c r="G169" i="74"/>
  <c r="G168" i="74"/>
  <c r="P167" i="74"/>
  <c r="Q167" i="74" s="1"/>
  <c r="K167" i="74"/>
  <c r="G167" i="74"/>
  <c r="M166" i="74"/>
  <c r="L166" i="74"/>
  <c r="K166" i="74"/>
  <c r="J166" i="74"/>
  <c r="I166" i="74"/>
  <c r="H166" i="74"/>
  <c r="J314" i="74"/>
  <c r="I314" i="74"/>
  <c r="G309" i="74"/>
  <c r="G308" i="74"/>
  <c r="G307" i="74"/>
  <c r="M306" i="74"/>
  <c r="L306" i="74"/>
  <c r="K306" i="74"/>
  <c r="J306" i="74"/>
  <c r="I306" i="74"/>
  <c r="H306" i="74"/>
  <c r="G306" i="74"/>
  <c r="M305" i="74"/>
  <c r="L305" i="74"/>
  <c r="K305" i="74"/>
  <c r="J305" i="74"/>
  <c r="I305" i="74"/>
  <c r="H305" i="74"/>
  <c r="G305" i="74" s="1"/>
  <c r="M304" i="74"/>
  <c r="L304" i="74"/>
  <c r="K304" i="74"/>
  <c r="J304" i="74"/>
  <c r="I304" i="74"/>
  <c r="H304" i="74"/>
  <c r="G304" i="74"/>
  <c r="M303" i="74"/>
  <c r="L303" i="74"/>
  <c r="L302" i="74" s="1"/>
  <c r="K303" i="74"/>
  <c r="J303" i="74"/>
  <c r="J302" i="74" s="1"/>
  <c r="I303" i="74"/>
  <c r="H303" i="74"/>
  <c r="K302" i="74"/>
  <c r="G301" i="74"/>
  <c r="G300" i="74"/>
  <c r="G299" i="74"/>
  <c r="M298" i="74"/>
  <c r="L298" i="74"/>
  <c r="K298" i="74"/>
  <c r="J298" i="74"/>
  <c r="I298" i="74"/>
  <c r="H298" i="74"/>
  <c r="G298" i="74"/>
  <c r="M297" i="74"/>
  <c r="L297" i="74"/>
  <c r="K297" i="74"/>
  <c r="J297" i="74"/>
  <c r="I297" i="74"/>
  <c r="H297" i="74"/>
  <c r="G297" i="74" s="1"/>
  <c r="M296" i="74"/>
  <c r="L296" i="74"/>
  <c r="K296" i="74"/>
  <c r="J296" i="74"/>
  <c r="I296" i="74"/>
  <c r="H296" i="74"/>
  <c r="G296" i="74"/>
  <c r="M295" i="74"/>
  <c r="L295" i="74"/>
  <c r="K295" i="74"/>
  <c r="J295" i="74"/>
  <c r="I295" i="74"/>
  <c r="H295" i="74"/>
  <c r="M294" i="74"/>
  <c r="K294" i="74"/>
  <c r="I294" i="74"/>
  <c r="G293" i="74"/>
  <c r="G292" i="74"/>
  <c r="G291" i="74"/>
  <c r="G290" i="74" s="1"/>
  <c r="J291" i="74"/>
  <c r="J287" i="74" s="1"/>
  <c r="H291" i="74"/>
  <c r="M290" i="74"/>
  <c r="L290" i="74"/>
  <c r="K290" i="74"/>
  <c r="J290" i="74"/>
  <c r="I290" i="74"/>
  <c r="H290" i="74"/>
  <c r="M289" i="74"/>
  <c r="L289" i="74"/>
  <c r="K289" i="74"/>
  <c r="J289" i="74"/>
  <c r="I289" i="74"/>
  <c r="H289" i="74"/>
  <c r="G289" i="74"/>
  <c r="M288" i="74"/>
  <c r="L288" i="74"/>
  <c r="K288" i="74"/>
  <c r="J288" i="74"/>
  <c r="I288" i="74"/>
  <c r="H288" i="74"/>
  <c r="G288" i="74" s="1"/>
  <c r="M287" i="74"/>
  <c r="L287" i="74"/>
  <c r="I287" i="74"/>
  <c r="I286" i="74" s="1"/>
  <c r="H287" i="74"/>
  <c r="J286" i="74"/>
  <c r="G285" i="74"/>
  <c r="G284" i="74"/>
  <c r="G283" i="74"/>
  <c r="G282" i="74" s="1"/>
  <c r="M282" i="74"/>
  <c r="L282" i="74"/>
  <c r="K282" i="74"/>
  <c r="J282" i="74"/>
  <c r="I282" i="74"/>
  <c r="H282" i="74"/>
  <c r="G281" i="74"/>
  <c r="G280" i="74"/>
  <c r="G279" i="74"/>
  <c r="G278" i="74" s="1"/>
  <c r="M278" i="74"/>
  <c r="L278" i="74"/>
  <c r="K278" i="74"/>
  <c r="J278" i="74"/>
  <c r="I278" i="74"/>
  <c r="H278" i="74"/>
  <c r="G277" i="74"/>
  <c r="G276" i="74"/>
  <c r="G275" i="74"/>
  <c r="G274" i="74" s="1"/>
  <c r="M274" i="74"/>
  <c r="L274" i="74"/>
  <c r="K274" i="74"/>
  <c r="J274" i="74"/>
  <c r="I274" i="74"/>
  <c r="H274" i="74"/>
  <c r="G273" i="74"/>
  <c r="G272" i="74"/>
  <c r="G271" i="74"/>
  <c r="M270" i="74"/>
  <c r="L270" i="74"/>
  <c r="K270" i="74"/>
  <c r="J270" i="74"/>
  <c r="I270" i="74"/>
  <c r="H270" i="74"/>
  <c r="G270" i="74"/>
  <c r="G269" i="74"/>
  <c r="G268" i="74"/>
  <c r="G267" i="74"/>
  <c r="G266" i="74" s="1"/>
  <c r="M266" i="74"/>
  <c r="L266" i="74"/>
  <c r="K266" i="74"/>
  <c r="J266" i="74"/>
  <c r="I266" i="74"/>
  <c r="H266" i="74"/>
  <c r="G265" i="74"/>
  <c r="G264" i="74"/>
  <c r="G263" i="74"/>
  <c r="M262" i="74"/>
  <c r="L262" i="74"/>
  <c r="K262" i="74"/>
  <c r="J262" i="74"/>
  <c r="I262" i="74"/>
  <c r="H262" i="74"/>
  <c r="G262" i="74"/>
  <c r="G261" i="74"/>
  <c r="G260" i="74"/>
  <c r="J259" i="74"/>
  <c r="I259" i="74"/>
  <c r="G259" i="74"/>
  <c r="G258" i="74" s="1"/>
  <c r="M258" i="74"/>
  <c r="L258" i="74"/>
  <c r="K258" i="74"/>
  <c r="J258" i="74"/>
  <c r="I258" i="74"/>
  <c r="H258" i="74"/>
  <c r="G257" i="74"/>
  <c r="G256" i="74"/>
  <c r="K251" i="74"/>
  <c r="K250" i="74" s="1"/>
  <c r="J255" i="74"/>
  <c r="J254" i="74" s="1"/>
  <c r="I255" i="74"/>
  <c r="M254" i="74"/>
  <c r="L254" i="74"/>
  <c r="K254" i="74"/>
  <c r="I254" i="74"/>
  <c r="H254" i="74"/>
  <c r="M253" i="74"/>
  <c r="L253" i="74"/>
  <c r="K253" i="74"/>
  <c r="J253" i="74"/>
  <c r="I253" i="74"/>
  <c r="H253" i="74"/>
  <c r="G253" i="74" s="1"/>
  <c r="M252" i="74"/>
  <c r="L252" i="74"/>
  <c r="K252" i="74"/>
  <c r="J252" i="74"/>
  <c r="I252" i="74"/>
  <c r="H252" i="74"/>
  <c r="G252" i="74"/>
  <c r="M251" i="74"/>
  <c r="M250" i="74" s="1"/>
  <c r="L251" i="74"/>
  <c r="H251" i="74"/>
  <c r="G249" i="74"/>
  <c r="I248" i="74"/>
  <c r="G248" i="74"/>
  <c r="I247" i="74"/>
  <c r="G247" i="74"/>
  <c r="G246" i="74" s="1"/>
  <c r="L246" i="74"/>
  <c r="J246" i="74"/>
  <c r="I246" i="74"/>
  <c r="H246" i="74"/>
  <c r="G245" i="74"/>
  <c r="G244" i="74"/>
  <c r="J243" i="74"/>
  <c r="I243" i="74"/>
  <c r="G243" i="74"/>
  <c r="G242" i="74" s="1"/>
  <c r="M242" i="74"/>
  <c r="L242" i="74"/>
  <c r="K242" i="74"/>
  <c r="J242" i="74"/>
  <c r="I242" i="74"/>
  <c r="H242" i="74"/>
  <c r="G241" i="74"/>
  <c r="G240" i="74"/>
  <c r="G239" i="74"/>
  <c r="G238" i="74" s="1"/>
  <c r="M238" i="74"/>
  <c r="L238" i="74"/>
  <c r="K238" i="74"/>
  <c r="J238" i="74"/>
  <c r="I238" i="74"/>
  <c r="H238" i="74"/>
  <c r="G237" i="74"/>
  <c r="G236" i="74"/>
  <c r="J235" i="74"/>
  <c r="H235" i="74"/>
  <c r="G235" i="74"/>
  <c r="G234" i="74" s="1"/>
  <c r="M234" i="74"/>
  <c r="L234" i="74"/>
  <c r="K234" i="74"/>
  <c r="J234" i="74"/>
  <c r="I234" i="74"/>
  <c r="H234" i="74"/>
  <c r="G233" i="74"/>
  <c r="G232" i="74"/>
  <c r="J231" i="74"/>
  <c r="H231" i="74"/>
  <c r="G231" i="74"/>
  <c r="G230" i="74" s="1"/>
  <c r="M230" i="74"/>
  <c r="L230" i="74"/>
  <c r="K230" i="74"/>
  <c r="J230" i="74"/>
  <c r="I230" i="74"/>
  <c r="H230" i="74"/>
  <c r="M229" i="74"/>
  <c r="L229" i="74"/>
  <c r="K229" i="74"/>
  <c r="J229" i="74"/>
  <c r="I229" i="74"/>
  <c r="H229" i="74"/>
  <c r="G229" i="74"/>
  <c r="L228" i="74"/>
  <c r="L226" i="74" s="1"/>
  <c r="J228" i="74"/>
  <c r="I228" i="74"/>
  <c r="H228" i="74"/>
  <c r="M227" i="74"/>
  <c r="L227" i="74"/>
  <c r="K227" i="74"/>
  <c r="I227" i="74"/>
  <c r="I226" i="74" s="1"/>
  <c r="H227" i="74"/>
  <c r="G225" i="74"/>
  <c r="G224" i="74"/>
  <c r="G223" i="74"/>
  <c r="G222" i="74" s="1"/>
  <c r="M222" i="74"/>
  <c r="L222" i="74"/>
  <c r="K222" i="74"/>
  <c r="J222" i="74"/>
  <c r="I222" i="74"/>
  <c r="H222" i="74"/>
  <c r="G221" i="74"/>
  <c r="G220" i="74"/>
  <c r="G219" i="74"/>
  <c r="G218" i="74" s="1"/>
  <c r="M218" i="74"/>
  <c r="L218" i="74"/>
  <c r="K218" i="74"/>
  <c r="J218" i="74"/>
  <c r="I218" i="74"/>
  <c r="H218" i="74"/>
  <c r="G217" i="74"/>
  <c r="G216" i="74"/>
  <c r="G215" i="74"/>
  <c r="G214" i="74" s="1"/>
  <c r="M214" i="74"/>
  <c r="L214" i="74"/>
  <c r="K214" i="74"/>
  <c r="J214" i="74"/>
  <c r="I214" i="74"/>
  <c r="H214" i="74"/>
  <c r="P213" i="74"/>
  <c r="G213" i="74"/>
  <c r="G212" i="74"/>
  <c r="G211" i="74"/>
  <c r="J211" i="74"/>
  <c r="H211" i="74"/>
  <c r="M210" i="74"/>
  <c r="L210" i="74"/>
  <c r="K210" i="74"/>
  <c r="J210" i="74"/>
  <c r="I210" i="74"/>
  <c r="H210" i="74"/>
  <c r="G209" i="74"/>
  <c r="G208" i="74"/>
  <c r="K206" i="74"/>
  <c r="I207" i="74"/>
  <c r="H207" i="74"/>
  <c r="M206" i="74"/>
  <c r="L206" i="74"/>
  <c r="J206" i="74"/>
  <c r="I206" i="74"/>
  <c r="G205" i="74"/>
  <c r="G204" i="74"/>
  <c r="G203" i="74"/>
  <c r="M202" i="74"/>
  <c r="L202" i="74"/>
  <c r="K202" i="74"/>
  <c r="J202" i="74"/>
  <c r="I202" i="74"/>
  <c r="H202" i="74"/>
  <c r="G202" i="74"/>
  <c r="G201" i="74"/>
  <c r="J200" i="74"/>
  <c r="G200" i="74" s="1"/>
  <c r="J199" i="74"/>
  <c r="H199" i="74"/>
  <c r="G199" i="74"/>
  <c r="M198" i="74"/>
  <c r="L198" i="74"/>
  <c r="K198" i="74"/>
  <c r="I198" i="74"/>
  <c r="H198" i="74"/>
  <c r="G197" i="74"/>
  <c r="H196" i="74"/>
  <c r="G196" i="74"/>
  <c r="H195" i="74"/>
  <c r="G195" i="74"/>
  <c r="W194" i="74"/>
  <c r="M194" i="74"/>
  <c r="L194" i="74"/>
  <c r="K194" i="74"/>
  <c r="J194" i="74"/>
  <c r="I194" i="74"/>
  <c r="H194" i="74"/>
  <c r="G194" i="74"/>
  <c r="G193" i="74"/>
  <c r="G192" i="74"/>
  <c r="G191" i="74"/>
  <c r="M190" i="74"/>
  <c r="L190" i="74"/>
  <c r="J190" i="74"/>
  <c r="I190" i="74"/>
  <c r="G190" i="74"/>
  <c r="G189" i="74"/>
  <c r="G188" i="74"/>
  <c r="G187" i="74"/>
  <c r="M186" i="74"/>
  <c r="L186" i="74"/>
  <c r="K186" i="74"/>
  <c r="J186" i="74"/>
  <c r="I186" i="74"/>
  <c r="H186" i="74"/>
  <c r="G186" i="74"/>
  <c r="G185" i="74"/>
  <c r="G184" i="74"/>
  <c r="G183" i="74"/>
  <c r="M182" i="74"/>
  <c r="L182" i="74"/>
  <c r="K182" i="74"/>
  <c r="J182" i="74"/>
  <c r="I182" i="74"/>
  <c r="H182" i="74"/>
  <c r="G182" i="74"/>
  <c r="G181" i="74"/>
  <c r="G180" i="74"/>
  <c r="P179" i="74"/>
  <c r="Q179" i="74" s="1"/>
  <c r="I179" i="74"/>
  <c r="G179" i="74"/>
  <c r="M178" i="74"/>
  <c r="L178" i="74"/>
  <c r="K178" i="74"/>
  <c r="J178" i="74"/>
  <c r="I178" i="74"/>
  <c r="H178" i="74"/>
  <c r="G177" i="74"/>
  <c r="I176" i="74"/>
  <c r="G176" i="74"/>
  <c r="G175" i="74"/>
  <c r="M174" i="74"/>
  <c r="L174" i="74"/>
  <c r="K174" i="74"/>
  <c r="J174" i="74"/>
  <c r="I174" i="74"/>
  <c r="H174" i="74"/>
  <c r="G174" i="74"/>
  <c r="G173" i="74"/>
  <c r="G172" i="74"/>
  <c r="P171" i="74"/>
  <c r="Q171" i="74" s="1"/>
  <c r="G171" i="74"/>
  <c r="M170" i="74"/>
  <c r="L170" i="74"/>
  <c r="K170" i="74"/>
  <c r="J170" i="74"/>
  <c r="I170" i="74"/>
  <c r="H170" i="74"/>
  <c r="G165" i="74"/>
  <c r="J164" i="74"/>
  <c r="H164" i="74"/>
  <c r="G164" i="74"/>
  <c r="P163" i="74"/>
  <c r="Q163" i="74" s="1"/>
  <c r="L163" i="74"/>
  <c r="J163" i="74"/>
  <c r="I163" i="74"/>
  <c r="M162" i="74"/>
  <c r="L162" i="74"/>
  <c r="K162" i="74"/>
  <c r="I162" i="74"/>
  <c r="H162" i="74"/>
  <c r="G157" i="74"/>
  <c r="G156" i="74"/>
  <c r="G155" i="74"/>
  <c r="M154" i="74"/>
  <c r="L154" i="74"/>
  <c r="K154" i="74"/>
  <c r="J154" i="74"/>
  <c r="I154" i="74"/>
  <c r="H154" i="74"/>
  <c r="G153" i="74"/>
  <c r="G152" i="74"/>
  <c r="G151" i="74"/>
  <c r="G150" i="74" s="1"/>
  <c r="M150" i="74"/>
  <c r="L150" i="74"/>
  <c r="J150" i="74"/>
  <c r="I150" i="74"/>
  <c r="H150" i="74"/>
  <c r="G149" i="74"/>
  <c r="G148" i="74"/>
  <c r="M146" i="74"/>
  <c r="L146" i="74"/>
  <c r="J146" i="74"/>
  <c r="I146" i="74"/>
  <c r="H146" i="74"/>
  <c r="J145" i="74"/>
  <c r="G145" i="74" s="1"/>
  <c r="J144" i="74"/>
  <c r="J128" i="74" s="1"/>
  <c r="H144" i="74"/>
  <c r="G143" i="74"/>
  <c r="J143" i="74"/>
  <c r="M142" i="74"/>
  <c r="L142" i="74"/>
  <c r="I142" i="74"/>
  <c r="H142" i="74"/>
  <c r="G141" i="74"/>
  <c r="J140" i="74"/>
  <c r="G140" i="74"/>
  <c r="J139" i="74"/>
  <c r="I139" i="74"/>
  <c r="G139" i="74" s="1"/>
  <c r="G138" i="74" s="1"/>
  <c r="M138" i="74"/>
  <c r="L138" i="74"/>
  <c r="K138" i="74"/>
  <c r="J138" i="74"/>
  <c r="I138" i="74"/>
  <c r="H138" i="74"/>
  <c r="G137" i="74"/>
  <c r="G136" i="74"/>
  <c r="K134" i="74"/>
  <c r="I135" i="74"/>
  <c r="G135" i="74"/>
  <c r="G134" i="74" s="1"/>
  <c r="M134" i="74"/>
  <c r="L134" i="74"/>
  <c r="J134" i="74"/>
  <c r="I134" i="74"/>
  <c r="H134" i="74"/>
  <c r="G133" i="74"/>
  <c r="L128" i="74"/>
  <c r="G132" i="74"/>
  <c r="J131" i="74"/>
  <c r="J127" i="74" s="1"/>
  <c r="I131" i="74"/>
  <c r="G131" i="74"/>
  <c r="M130" i="74"/>
  <c r="L130" i="74"/>
  <c r="K130" i="74"/>
  <c r="J130" i="74"/>
  <c r="I130" i="74"/>
  <c r="H130" i="74"/>
  <c r="M129" i="74"/>
  <c r="L129" i="74"/>
  <c r="K129" i="74"/>
  <c r="I129" i="74"/>
  <c r="H129" i="74"/>
  <c r="M128" i="74"/>
  <c r="I128" i="74"/>
  <c r="H128" i="74"/>
  <c r="H126" i="74" s="1"/>
  <c r="L127" i="74"/>
  <c r="I127" i="74"/>
  <c r="I126" i="74" s="1"/>
  <c r="H127" i="74"/>
  <c r="G125" i="74"/>
  <c r="J124" i="74"/>
  <c r="I124" i="74"/>
  <c r="H124" i="74"/>
  <c r="G124" i="74" s="1"/>
  <c r="G123" i="74"/>
  <c r="M122" i="74"/>
  <c r="K122" i="74"/>
  <c r="I122" i="74"/>
  <c r="G121" i="74"/>
  <c r="G120" i="74"/>
  <c r="K118" i="74"/>
  <c r="I119" i="74"/>
  <c r="H119" i="74"/>
  <c r="M118" i="74"/>
  <c r="L118" i="74"/>
  <c r="J118" i="74"/>
  <c r="I118" i="74"/>
  <c r="G117" i="74"/>
  <c r="M114" i="74"/>
  <c r="H116" i="74"/>
  <c r="G116" i="74"/>
  <c r="G115" i="74"/>
  <c r="I115" i="74"/>
  <c r="I114" i="74" s="1"/>
  <c r="H115" i="74"/>
  <c r="J114" i="74"/>
  <c r="H114" i="74"/>
  <c r="G113" i="74"/>
  <c r="G112" i="74"/>
  <c r="G111" i="74"/>
  <c r="G110" i="74" s="1"/>
  <c r="M110" i="74"/>
  <c r="L110" i="74"/>
  <c r="K110" i="74"/>
  <c r="J110" i="74"/>
  <c r="I110" i="74"/>
  <c r="H110" i="74"/>
  <c r="G109" i="74"/>
  <c r="G108" i="74"/>
  <c r="G107" i="74"/>
  <c r="G106" i="74" s="1"/>
  <c r="M106" i="74"/>
  <c r="L106" i="74"/>
  <c r="K106" i="74"/>
  <c r="J106" i="74"/>
  <c r="I106" i="74"/>
  <c r="H106" i="74"/>
  <c r="G105" i="74"/>
  <c r="J104" i="74"/>
  <c r="I104" i="74"/>
  <c r="H104" i="74"/>
  <c r="J103" i="74"/>
  <c r="I103" i="74"/>
  <c r="M102" i="74"/>
  <c r="K102" i="74"/>
  <c r="I102" i="74"/>
  <c r="M101" i="74"/>
  <c r="L101" i="74"/>
  <c r="K101" i="74"/>
  <c r="J101" i="74"/>
  <c r="I101" i="74"/>
  <c r="H101" i="74"/>
  <c r="M100" i="74"/>
  <c r="I100" i="74"/>
  <c r="M99" i="74"/>
  <c r="J99" i="74"/>
  <c r="M98" i="74"/>
  <c r="G97" i="74"/>
  <c r="G96" i="74"/>
  <c r="G95" i="74"/>
  <c r="M94" i="74"/>
  <c r="L94" i="74"/>
  <c r="K94" i="74"/>
  <c r="J94" i="74"/>
  <c r="I94" i="74"/>
  <c r="H94" i="74"/>
  <c r="G94" i="74"/>
  <c r="G93" i="74"/>
  <c r="G92" i="74"/>
  <c r="G91" i="74"/>
  <c r="M90" i="74"/>
  <c r="L90" i="74"/>
  <c r="K90" i="74"/>
  <c r="J90" i="74"/>
  <c r="I90" i="74"/>
  <c r="H90" i="74"/>
  <c r="G90" i="74"/>
  <c r="G89" i="74"/>
  <c r="J88" i="74"/>
  <c r="I88" i="74"/>
  <c r="I87" i="74"/>
  <c r="G87" i="74" s="1"/>
  <c r="M86" i="74"/>
  <c r="L86" i="74"/>
  <c r="K86" i="74"/>
  <c r="J86" i="74"/>
  <c r="H86" i="74"/>
  <c r="G85" i="74"/>
  <c r="G84" i="74"/>
  <c r="G83" i="74"/>
  <c r="G82" i="74" s="1"/>
  <c r="J83" i="74"/>
  <c r="I83" i="74"/>
  <c r="M82" i="74"/>
  <c r="L82" i="74"/>
  <c r="K82" i="74"/>
  <c r="J82" i="74"/>
  <c r="I82" i="74"/>
  <c r="H82" i="74"/>
  <c r="G81" i="74"/>
  <c r="J80" i="74"/>
  <c r="G80" i="74" s="1"/>
  <c r="J79" i="74"/>
  <c r="M78" i="74"/>
  <c r="L78" i="74"/>
  <c r="K78" i="74"/>
  <c r="I78" i="74"/>
  <c r="H78" i="74"/>
  <c r="G77" i="74"/>
  <c r="G76" i="74"/>
  <c r="I75" i="74"/>
  <c r="M74" i="74"/>
  <c r="L74" i="74"/>
  <c r="K74" i="74"/>
  <c r="J74" i="74"/>
  <c r="H74" i="74"/>
  <c r="G73" i="74"/>
  <c r="G72" i="74"/>
  <c r="I71" i="74"/>
  <c r="G71" i="74"/>
  <c r="G70" i="74" s="1"/>
  <c r="M70" i="74"/>
  <c r="L70" i="74"/>
  <c r="K70" i="74"/>
  <c r="J70" i="74"/>
  <c r="I70" i="74"/>
  <c r="H70" i="74"/>
  <c r="G69" i="74"/>
  <c r="G68" i="74"/>
  <c r="G67" i="74"/>
  <c r="G66" i="74" s="1"/>
  <c r="M66" i="74"/>
  <c r="L66" i="74"/>
  <c r="K66" i="74"/>
  <c r="J66" i="74"/>
  <c r="I66" i="74"/>
  <c r="H66" i="74"/>
  <c r="G65" i="74"/>
  <c r="G64" i="74"/>
  <c r="J63" i="74"/>
  <c r="I63" i="74"/>
  <c r="G63" i="74"/>
  <c r="G62" i="74" s="1"/>
  <c r="M62" i="74"/>
  <c r="L62" i="74"/>
  <c r="K62" i="74"/>
  <c r="J62" i="74"/>
  <c r="I62" i="74"/>
  <c r="H62" i="74"/>
  <c r="G61" i="74"/>
  <c r="G60" i="74"/>
  <c r="G59" i="74"/>
  <c r="G58" i="74" s="1"/>
  <c r="M58" i="74"/>
  <c r="L58" i="74"/>
  <c r="K58" i="74"/>
  <c r="J58" i="74"/>
  <c r="I58" i="74"/>
  <c r="H58" i="74"/>
  <c r="M54" i="74"/>
  <c r="G57" i="74"/>
  <c r="G54" i="74" s="1"/>
  <c r="G56" i="74"/>
  <c r="G55" i="74"/>
  <c r="L54" i="74"/>
  <c r="J54" i="74"/>
  <c r="I54" i="74"/>
  <c r="H54" i="74"/>
  <c r="G53" i="74"/>
  <c r="L36" i="74"/>
  <c r="K36" i="74"/>
  <c r="J52" i="74"/>
  <c r="I52" i="74"/>
  <c r="I50" i="74" s="1"/>
  <c r="H52" i="74"/>
  <c r="G52" i="74"/>
  <c r="G51" i="74"/>
  <c r="K50" i="74"/>
  <c r="I51" i="74"/>
  <c r="L50" i="74"/>
  <c r="J50" i="74"/>
  <c r="H50" i="74"/>
  <c r="G49" i="74"/>
  <c r="G48" i="74"/>
  <c r="G47" i="74"/>
  <c r="G46" i="74" s="1"/>
  <c r="M46" i="74"/>
  <c r="L46" i="74"/>
  <c r="K46" i="74"/>
  <c r="J46" i="74"/>
  <c r="I46" i="74"/>
  <c r="H46" i="74"/>
  <c r="G45" i="74"/>
  <c r="O44" i="74"/>
  <c r="G44" i="74"/>
  <c r="G43" i="74"/>
  <c r="M42" i="74"/>
  <c r="L42" i="74"/>
  <c r="K42" i="74"/>
  <c r="J42" i="74"/>
  <c r="I42" i="74"/>
  <c r="H42" i="74"/>
  <c r="G42" i="74"/>
  <c r="G41" i="74"/>
  <c r="G40" i="74"/>
  <c r="G39" i="74"/>
  <c r="G38" i="74" s="1"/>
  <c r="M38" i="74"/>
  <c r="L38" i="74"/>
  <c r="K38" i="74"/>
  <c r="J38" i="74"/>
  <c r="I38" i="74"/>
  <c r="H38" i="74"/>
  <c r="M37" i="74"/>
  <c r="L37" i="74"/>
  <c r="K37" i="74"/>
  <c r="J37" i="74"/>
  <c r="I37" i="74"/>
  <c r="H37" i="74"/>
  <c r="G37" i="74"/>
  <c r="H36" i="74"/>
  <c r="M35" i="74"/>
  <c r="L35" i="74"/>
  <c r="K35" i="74"/>
  <c r="H35" i="74"/>
  <c r="H34" i="74"/>
  <c r="G33" i="74"/>
  <c r="L30" i="74"/>
  <c r="G32" i="74"/>
  <c r="G30" i="74" s="1"/>
  <c r="G31" i="74"/>
  <c r="M30" i="74"/>
  <c r="K30" i="74"/>
  <c r="J30" i="74"/>
  <c r="I30" i="74"/>
  <c r="H30" i="74"/>
  <c r="G29" i="74"/>
  <c r="M6" i="74"/>
  <c r="L26" i="74"/>
  <c r="J28" i="74"/>
  <c r="G28" i="74" s="1"/>
  <c r="G26" i="74" s="1"/>
  <c r="G27" i="74"/>
  <c r="M26" i="74"/>
  <c r="K26" i="74"/>
  <c r="I26" i="74"/>
  <c r="H26" i="74"/>
  <c r="G25" i="74"/>
  <c r="G24" i="74"/>
  <c r="I23" i="74"/>
  <c r="G23" i="74" s="1"/>
  <c r="M22" i="74"/>
  <c r="K22" i="74"/>
  <c r="J22" i="74"/>
  <c r="I22" i="74"/>
  <c r="H22" i="74"/>
  <c r="G22" i="74"/>
  <c r="G21" i="74"/>
  <c r="K16" i="74"/>
  <c r="J20" i="74"/>
  <c r="I20" i="74"/>
  <c r="H20" i="74"/>
  <c r="G20" i="74"/>
  <c r="K18" i="74"/>
  <c r="I19" i="74"/>
  <c r="G19" i="74"/>
  <c r="L18" i="74"/>
  <c r="J18" i="74"/>
  <c r="H18" i="74"/>
  <c r="M17" i="74"/>
  <c r="L17" i="74"/>
  <c r="K17" i="74"/>
  <c r="J17" i="74"/>
  <c r="I17" i="74"/>
  <c r="I13" i="74" s="1"/>
  <c r="H17" i="74"/>
  <c r="G17" i="74"/>
  <c r="J16" i="74"/>
  <c r="J14" i="74" s="1"/>
  <c r="H16" i="74"/>
  <c r="M15" i="74"/>
  <c r="J15" i="74"/>
  <c r="H15" i="74"/>
  <c r="H14" i="74" s="1"/>
  <c r="K6" i="74"/>
  <c r="J36" i="74" l="1"/>
  <c r="J159" i="74"/>
  <c r="J26" i="74"/>
  <c r="J160" i="74"/>
  <c r="G18" i="74"/>
  <c r="J129" i="74"/>
  <c r="G129" i="74" s="1"/>
  <c r="J142" i="74"/>
  <c r="L286" i="74"/>
  <c r="G210" i="74"/>
  <c r="G130" i="74"/>
  <c r="L13" i="74"/>
  <c r="K13" i="74"/>
  <c r="K313" i="74" s="1"/>
  <c r="G50" i="74"/>
  <c r="L34" i="74"/>
  <c r="M13" i="74"/>
  <c r="M313" i="74" s="1"/>
  <c r="G114" i="74"/>
  <c r="L126" i="74"/>
  <c r="G154" i="74"/>
  <c r="G166" i="74"/>
  <c r="G144" i="74"/>
  <c r="G142" i="74" s="1"/>
  <c r="J6" i="74"/>
  <c r="L6" i="74"/>
  <c r="K5" i="74"/>
  <c r="L16" i="74"/>
  <c r="M50" i="74"/>
  <c r="K54" i="74"/>
  <c r="G75" i="74"/>
  <c r="G74" i="74" s="1"/>
  <c r="G88" i="74"/>
  <c r="G86" i="74" s="1"/>
  <c r="L114" i="74"/>
  <c r="K114" i="74"/>
  <c r="M127" i="74"/>
  <c r="M126" i="74" s="1"/>
  <c r="K142" i="74"/>
  <c r="K150" i="74"/>
  <c r="G161" i="74"/>
  <c r="J251" i="74"/>
  <c r="J250" i="74" s="1"/>
  <c r="K287" i="74"/>
  <c r="G287" i="74" s="1"/>
  <c r="G286" i="74" s="1"/>
  <c r="I18" i="74"/>
  <c r="I16" i="74"/>
  <c r="M18" i="74"/>
  <c r="M16" i="74"/>
  <c r="M14" i="74" s="1"/>
  <c r="L22" i="74"/>
  <c r="L15" i="74"/>
  <c r="K34" i="74"/>
  <c r="G79" i="74"/>
  <c r="G78" i="74" s="1"/>
  <c r="J78" i="74"/>
  <c r="J98" i="74"/>
  <c r="G104" i="74"/>
  <c r="H102" i="74"/>
  <c r="H100" i="74"/>
  <c r="J102" i="74"/>
  <c r="J100" i="74"/>
  <c r="J12" i="74" s="1"/>
  <c r="J5" i="74"/>
  <c r="L102" i="74"/>
  <c r="L100" i="74"/>
  <c r="L5" i="74"/>
  <c r="G119" i="74"/>
  <c r="G118" i="74" s="1"/>
  <c r="H118" i="74"/>
  <c r="J126" i="74"/>
  <c r="I5" i="74"/>
  <c r="M5" i="74"/>
  <c r="I15" i="74"/>
  <c r="K15" i="74"/>
  <c r="I35" i="74"/>
  <c r="I36" i="74"/>
  <c r="M36" i="74"/>
  <c r="M34" i="74" s="1"/>
  <c r="I74" i="74"/>
  <c r="J35" i="74"/>
  <c r="I86" i="74"/>
  <c r="H99" i="74"/>
  <c r="L99" i="74"/>
  <c r="K100" i="74"/>
  <c r="G101" i="74"/>
  <c r="H13" i="74"/>
  <c r="G103" i="74"/>
  <c r="G102" i="74" s="1"/>
  <c r="I99" i="74"/>
  <c r="I98" i="74" s="1"/>
  <c r="K99" i="74"/>
  <c r="H122" i="74"/>
  <c r="J122" i="74"/>
  <c r="L122" i="74"/>
  <c r="G122" i="74"/>
  <c r="L313" i="74"/>
  <c r="J162" i="74"/>
  <c r="G207" i="74"/>
  <c r="G206" i="74" s="1"/>
  <c r="H206" i="74"/>
  <c r="G303" i="74"/>
  <c r="G302" i="74" s="1"/>
  <c r="H302" i="74"/>
  <c r="I313" i="74"/>
  <c r="H313" i="74"/>
  <c r="K128" i="74"/>
  <c r="G163" i="74"/>
  <c r="G162" i="74" s="1"/>
  <c r="I158" i="74"/>
  <c r="K158" i="74"/>
  <c r="G170" i="74"/>
  <c r="G178" i="74"/>
  <c r="J198" i="74"/>
  <c r="G198" i="74"/>
  <c r="H226" i="74"/>
  <c r="J227" i="74"/>
  <c r="K246" i="74"/>
  <c r="K228" i="74"/>
  <c r="M246" i="74"/>
  <c r="M228" i="74"/>
  <c r="H250" i="74"/>
  <c r="L250" i="74"/>
  <c r="G255" i="74"/>
  <c r="G254" i="74" s="1"/>
  <c r="I251" i="74"/>
  <c r="I250" i="74" s="1"/>
  <c r="H286" i="74"/>
  <c r="K286" i="74"/>
  <c r="M286" i="74"/>
  <c r="G295" i="74"/>
  <c r="G294" i="74" s="1"/>
  <c r="H294" i="74"/>
  <c r="J294" i="74"/>
  <c r="L294" i="74"/>
  <c r="I302" i="74"/>
  <c r="M302" i="74"/>
  <c r="I5" i="73"/>
  <c r="J5" i="73"/>
  <c r="M283" i="73"/>
  <c r="L283" i="73"/>
  <c r="J312" i="74" l="1"/>
  <c r="J13" i="74"/>
  <c r="J313" i="74" s="1"/>
  <c r="L98" i="74"/>
  <c r="G36" i="74"/>
  <c r="G16" i="74"/>
  <c r="K98" i="74"/>
  <c r="L12" i="74"/>
  <c r="L312" i="74" s="1"/>
  <c r="G13" i="74"/>
  <c r="K12" i="74"/>
  <c r="K312" i="74" s="1"/>
  <c r="M11" i="74"/>
  <c r="M311" i="74" s="1"/>
  <c r="G227" i="74"/>
  <c r="J226" i="74"/>
  <c r="K226" i="74"/>
  <c r="G228" i="74"/>
  <c r="I14" i="74"/>
  <c r="G15" i="74"/>
  <c r="I11" i="74"/>
  <c r="G128" i="74"/>
  <c r="I12" i="74"/>
  <c r="I312" i="74" s="1"/>
  <c r="G251" i="74"/>
  <c r="G250" i="74" s="1"/>
  <c r="M226" i="74"/>
  <c r="G159" i="74"/>
  <c r="H158" i="74"/>
  <c r="G313" i="74"/>
  <c r="G160" i="74"/>
  <c r="J158" i="74"/>
  <c r="G99" i="74"/>
  <c r="H98" i="74"/>
  <c r="H11" i="74"/>
  <c r="J11" i="74"/>
  <c r="J10" i="74" s="1"/>
  <c r="J34" i="74"/>
  <c r="I34" i="74"/>
  <c r="G35" i="74"/>
  <c r="K14" i="74"/>
  <c r="G100" i="74"/>
  <c r="H12" i="74"/>
  <c r="L11" i="74"/>
  <c r="L14" i="74"/>
  <c r="M12" i="74"/>
  <c r="M244" i="73"/>
  <c r="M242" i="73" s="1"/>
  <c r="L244" i="73"/>
  <c r="L242" i="73" s="1"/>
  <c r="K244" i="73"/>
  <c r="K242" i="73" s="1"/>
  <c r="M238" i="73"/>
  <c r="L238" i="73"/>
  <c r="K238" i="73"/>
  <c r="M234" i="73"/>
  <c r="L234" i="73"/>
  <c r="K234" i="73"/>
  <c r="M230" i="73"/>
  <c r="L230" i="73"/>
  <c r="K230" i="73"/>
  <c r="G14" i="74" l="1"/>
  <c r="M10" i="74"/>
  <c r="G34" i="74"/>
  <c r="AO38" i="74" s="1"/>
  <c r="L10" i="74"/>
  <c r="L311" i="74"/>
  <c r="L310" i="74" s="1"/>
  <c r="L315" i="74" s="1"/>
  <c r="H10" i="74"/>
  <c r="H311" i="74"/>
  <c r="G98" i="74"/>
  <c r="G226" i="74"/>
  <c r="G12" i="74"/>
  <c r="H312" i="74"/>
  <c r="G158" i="74"/>
  <c r="I10" i="74"/>
  <c r="I311" i="74"/>
  <c r="I310" i="74" s="1"/>
  <c r="I315" i="74" s="1"/>
  <c r="J311" i="74"/>
  <c r="J310" i="74" s="1"/>
  <c r="J315" i="74" s="1"/>
  <c r="M312" i="74"/>
  <c r="M310" i="74" s="1"/>
  <c r="M315" i="74" s="1"/>
  <c r="I99" i="73"/>
  <c r="J99" i="73"/>
  <c r="L99" i="73"/>
  <c r="M99" i="73"/>
  <c r="I100" i="73"/>
  <c r="I101" i="73"/>
  <c r="J101" i="73"/>
  <c r="K101" i="73"/>
  <c r="L101" i="73"/>
  <c r="M101" i="73"/>
  <c r="H100" i="73"/>
  <c r="H101" i="73"/>
  <c r="H99" i="73"/>
  <c r="G117" i="73"/>
  <c r="M116" i="73"/>
  <c r="M114" i="73" s="1"/>
  <c r="L116" i="73"/>
  <c r="K116" i="73"/>
  <c r="H116" i="73"/>
  <c r="G116" i="73"/>
  <c r="M115" i="73"/>
  <c r="L115" i="73"/>
  <c r="K115" i="73"/>
  <c r="G115" i="73" s="1"/>
  <c r="I115" i="73"/>
  <c r="I114" i="73" s="1"/>
  <c r="H115" i="73"/>
  <c r="J114" i="73"/>
  <c r="H114" i="73"/>
  <c r="G113" i="73"/>
  <c r="G112" i="73"/>
  <c r="G111" i="73"/>
  <c r="G110" i="73" s="1"/>
  <c r="M110" i="73"/>
  <c r="L110" i="73"/>
  <c r="K110" i="73"/>
  <c r="J110" i="73"/>
  <c r="I110" i="73"/>
  <c r="H110" i="73"/>
  <c r="G109" i="73"/>
  <c r="G108" i="73"/>
  <c r="G107" i="73"/>
  <c r="G106" i="73" s="1"/>
  <c r="M106" i="73"/>
  <c r="L106" i="73"/>
  <c r="K106" i="73"/>
  <c r="J106" i="73"/>
  <c r="I106" i="73"/>
  <c r="H106" i="73"/>
  <c r="L35" i="73"/>
  <c r="I37" i="73"/>
  <c r="J37" i="73"/>
  <c r="H37" i="73"/>
  <c r="H35" i="73"/>
  <c r="G81" i="73"/>
  <c r="J80" i="73"/>
  <c r="G80" i="73" s="1"/>
  <c r="K79" i="73"/>
  <c r="K78" i="73" s="1"/>
  <c r="J79" i="73"/>
  <c r="M78" i="73"/>
  <c r="L78" i="73"/>
  <c r="I78" i="73"/>
  <c r="H78" i="73"/>
  <c r="G77" i="73"/>
  <c r="G76" i="73"/>
  <c r="K75" i="73"/>
  <c r="I75" i="73"/>
  <c r="M74" i="73"/>
  <c r="L74" i="73"/>
  <c r="K74" i="73"/>
  <c r="J74" i="73"/>
  <c r="H74" i="73"/>
  <c r="G73" i="73"/>
  <c r="G72" i="73"/>
  <c r="I71" i="73"/>
  <c r="G71" i="73" s="1"/>
  <c r="M70" i="73"/>
  <c r="L70" i="73"/>
  <c r="K70" i="73"/>
  <c r="J70" i="73"/>
  <c r="H70" i="73"/>
  <c r="G69" i="73"/>
  <c r="G68" i="73"/>
  <c r="G67" i="73"/>
  <c r="M66" i="73"/>
  <c r="L66" i="73"/>
  <c r="K66" i="73"/>
  <c r="J66" i="73"/>
  <c r="I66" i="73"/>
  <c r="H66" i="73"/>
  <c r="G65" i="73"/>
  <c r="G64" i="73"/>
  <c r="J63" i="73"/>
  <c r="J62" i="73" s="1"/>
  <c r="I63" i="73"/>
  <c r="M62" i="73"/>
  <c r="L62" i="73"/>
  <c r="K62" i="73"/>
  <c r="H62" i="73"/>
  <c r="G61" i="73"/>
  <c r="G60" i="73"/>
  <c r="G59" i="73"/>
  <c r="M58" i="73"/>
  <c r="L58" i="73"/>
  <c r="K58" i="73"/>
  <c r="J58" i="73"/>
  <c r="I58" i="73"/>
  <c r="H58" i="73"/>
  <c r="M57" i="73"/>
  <c r="M37" i="73" s="1"/>
  <c r="L57" i="73"/>
  <c r="L37" i="73" s="1"/>
  <c r="K57" i="73"/>
  <c r="G57" i="73" s="1"/>
  <c r="G56" i="73"/>
  <c r="G55" i="73"/>
  <c r="L54" i="73"/>
  <c r="J54" i="73"/>
  <c r="I54" i="73"/>
  <c r="H54" i="73"/>
  <c r="AO35" i="74" l="1"/>
  <c r="AO37" i="74"/>
  <c r="AO36" i="74"/>
  <c r="G312" i="74"/>
  <c r="H310" i="74"/>
  <c r="G114" i="73"/>
  <c r="L114" i="73"/>
  <c r="K114" i="73"/>
  <c r="I70" i="73"/>
  <c r="G70" i="73"/>
  <c r="G79" i="73"/>
  <c r="G78" i="73" s="1"/>
  <c r="J78" i="73"/>
  <c r="K37" i="73"/>
  <c r="G66" i="73"/>
  <c r="G75" i="73"/>
  <c r="G74" i="73" s="1"/>
  <c r="G58" i="73"/>
  <c r="G63" i="73"/>
  <c r="G62" i="73" s="1"/>
  <c r="I74" i="73"/>
  <c r="K54" i="73"/>
  <c r="M54" i="73"/>
  <c r="G54" i="73"/>
  <c r="I62" i="73"/>
  <c r="AO39" i="74" l="1"/>
  <c r="L247" i="73"/>
  <c r="M247" i="73"/>
  <c r="I248" i="73"/>
  <c r="J248" i="73"/>
  <c r="K248" i="73"/>
  <c r="L248" i="73"/>
  <c r="M248" i="73"/>
  <c r="I249" i="73"/>
  <c r="J249" i="73"/>
  <c r="K249" i="73"/>
  <c r="L249" i="73"/>
  <c r="M249" i="73"/>
  <c r="H248" i="73"/>
  <c r="H249" i="73"/>
  <c r="H247" i="73"/>
  <c r="G265" i="73"/>
  <c r="G264" i="73"/>
  <c r="K263" i="73"/>
  <c r="G263" i="73" s="1"/>
  <c r="M262" i="73"/>
  <c r="L262" i="73"/>
  <c r="J262" i="73"/>
  <c r="I262" i="73"/>
  <c r="H262" i="73"/>
  <c r="M159" i="73"/>
  <c r="L160" i="73"/>
  <c r="M160" i="73"/>
  <c r="I161" i="73"/>
  <c r="K161" i="73"/>
  <c r="L161" i="73"/>
  <c r="M161" i="73"/>
  <c r="H161" i="73"/>
  <c r="G201" i="73"/>
  <c r="G200" i="73"/>
  <c r="G199" i="73"/>
  <c r="G198" i="73" s="1"/>
  <c r="M198" i="73"/>
  <c r="L198" i="73"/>
  <c r="K198" i="73"/>
  <c r="J198" i="73"/>
  <c r="I198" i="73"/>
  <c r="H198" i="73"/>
  <c r="G197" i="73"/>
  <c r="J196" i="73"/>
  <c r="G196" i="73" s="1"/>
  <c r="J195" i="73"/>
  <c r="H195" i="73"/>
  <c r="M194" i="73"/>
  <c r="L194" i="73"/>
  <c r="K194" i="73"/>
  <c r="I194" i="73"/>
  <c r="K154" i="73"/>
  <c r="L154" i="73"/>
  <c r="M154" i="73"/>
  <c r="G181" i="73"/>
  <c r="G180" i="73"/>
  <c r="G179" i="73"/>
  <c r="M178" i="73"/>
  <c r="L178" i="73"/>
  <c r="K178" i="73"/>
  <c r="J178" i="73"/>
  <c r="I178" i="73"/>
  <c r="H178" i="73"/>
  <c r="I52" i="73"/>
  <c r="H46" i="73"/>
  <c r="H42" i="73"/>
  <c r="G47" i="73"/>
  <c r="G49" i="73"/>
  <c r="M104" i="73"/>
  <c r="L104" i="73"/>
  <c r="K104" i="73"/>
  <c r="J104" i="73"/>
  <c r="I104" i="73"/>
  <c r="H104" i="73"/>
  <c r="M52" i="73"/>
  <c r="L52" i="73"/>
  <c r="K52" i="73"/>
  <c r="J52" i="73"/>
  <c r="J50" i="73" s="1"/>
  <c r="H52" i="73"/>
  <c r="H36" i="73" s="1"/>
  <c r="M20" i="73"/>
  <c r="L20" i="73"/>
  <c r="K20" i="73"/>
  <c r="J20" i="73"/>
  <c r="J18" i="73" s="1"/>
  <c r="I20" i="73"/>
  <c r="H20" i="73"/>
  <c r="H16" i="73" s="1"/>
  <c r="M310" i="73"/>
  <c r="L310" i="73"/>
  <c r="K310" i="73"/>
  <c r="J310" i="73"/>
  <c r="I310" i="73"/>
  <c r="G305" i="73"/>
  <c r="G304" i="73"/>
  <c r="G303" i="73"/>
  <c r="M302" i="73"/>
  <c r="L302" i="73"/>
  <c r="K302" i="73"/>
  <c r="J302" i="73"/>
  <c r="I302" i="73"/>
  <c r="H302" i="73"/>
  <c r="M301" i="73"/>
  <c r="L301" i="73"/>
  <c r="K301" i="73"/>
  <c r="J301" i="73"/>
  <c r="I301" i="73"/>
  <c r="H301" i="73"/>
  <c r="M300" i="73"/>
  <c r="L300" i="73"/>
  <c r="K300" i="73"/>
  <c r="J300" i="73"/>
  <c r="I300" i="73"/>
  <c r="H300" i="73"/>
  <c r="M299" i="73"/>
  <c r="L299" i="73"/>
  <c r="K299" i="73"/>
  <c r="J299" i="73"/>
  <c r="I299" i="73"/>
  <c r="H299" i="73"/>
  <c r="G297" i="73"/>
  <c r="G296" i="73"/>
  <c r="G295" i="73"/>
  <c r="M294" i="73"/>
  <c r="L294" i="73"/>
  <c r="K294" i="73"/>
  <c r="J294" i="73"/>
  <c r="I294" i="73"/>
  <c r="H294" i="73"/>
  <c r="M293" i="73"/>
  <c r="L293" i="73"/>
  <c r="K293" i="73"/>
  <c r="J293" i="73"/>
  <c r="I293" i="73"/>
  <c r="H293" i="73"/>
  <c r="M292" i="73"/>
  <c r="L292" i="73"/>
  <c r="K292" i="73"/>
  <c r="J292" i="73"/>
  <c r="I292" i="73"/>
  <c r="H292" i="73"/>
  <c r="M291" i="73"/>
  <c r="L291" i="73"/>
  <c r="K291" i="73"/>
  <c r="J291" i="73"/>
  <c r="I291" i="73"/>
  <c r="H291" i="73"/>
  <c r="G289" i="73"/>
  <c r="G288" i="73"/>
  <c r="M286" i="73"/>
  <c r="K287" i="73"/>
  <c r="K283" i="73" s="1"/>
  <c r="J287" i="73"/>
  <c r="J283" i="73" s="1"/>
  <c r="H287" i="73"/>
  <c r="L286" i="73"/>
  <c r="I286" i="73"/>
  <c r="M285" i="73"/>
  <c r="L285" i="73"/>
  <c r="K285" i="73"/>
  <c r="J285" i="73"/>
  <c r="I285" i="73"/>
  <c r="H285" i="73"/>
  <c r="M284" i="73"/>
  <c r="L284" i="73"/>
  <c r="K284" i="73"/>
  <c r="J284" i="73"/>
  <c r="I284" i="73"/>
  <c r="H284" i="73"/>
  <c r="I283" i="73"/>
  <c r="G281" i="73"/>
  <c r="G280" i="73"/>
  <c r="G279" i="73"/>
  <c r="M278" i="73"/>
  <c r="L278" i="73"/>
  <c r="K278" i="73"/>
  <c r="J278" i="73"/>
  <c r="I278" i="73"/>
  <c r="H278" i="73"/>
  <c r="G277" i="73"/>
  <c r="G276" i="73"/>
  <c r="G275" i="73"/>
  <c r="M274" i="73"/>
  <c r="L274" i="73"/>
  <c r="K274" i="73"/>
  <c r="J274" i="73"/>
  <c r="I274" i="73"/>
  <c r="H274" i="73"/>
  <c r="G273" i="73"/>
  <c r="G272" i="73"/>
  <c r="G271" i="73"/>
  <c r="M270" i="73"/>
  <c r="L270" i="73"/>
  <c r="K270" i="73"/>
  <c r="J270" i="73"/>
  <c r="I270" i="73"/>
  <c r="H270" i="73"/>
  <c r="G269" i="73"/>
  <c r="G268" i="73"/>
  <c r="K267" i="73"/>
  <c r="G267" i="73" s="1"/>
  <c r="M266" i="73"/>
  <c r="L266" i="73"/>
  <c r="J266" i="73"/>
  <c r="I266" i="73"/>
  <c r="H266" i="73"/>
  <c r="G261" i="73"/>
  <c r="G260" i="73"/>
  <c r="K259" i="73"/>
  <c r="G259" i="73" s="1"/>
  <c r="M258" i="73"/>
  <c r="L258" i="73"/>
  <c r="J258" i="73"/>
  <c r="I258" i="73"/>
  <c r="H258" i="73"/>
  <c r="G257" i="73"/>
  <c r="G256" i="73"/>
  <c r="K255" i="73"/>
  <c r="K254" i="73" s="1"/>
  <c r="J255" i="73"/>
  <c r="J254" i="73" s="1"/>
  <c r="I255" i="73"/>
  <c r="I254" i="73" s="1"/>
  <c r="M254" i="73"/>
  <c r="L254" i="73"/>
  <c r="H254" i="73"/>
  <c r="G253" i="73"/>
  <c r="G252" i="73"/>
  <c r="K251" i="73"/>
  <c r="J251" i="73"/>
  <c r="J250" i="73" s="1"/>
  <c r="I251" i="73"/>
  <c r="I250" i="73" s="1"/>
  <c r="M250" i="73"/>
  <c r="L250" i="73"/>
  <c r="H250" i="73"/>
  <c r="G245" i="73"/>
  <c r="L224" i="73"/>
  <c r="I244" i="73"/>
  <c r="I224" i="73" s="1"/>
  <c r="I243" i="73"/>
  <c r="G243" i="73" s="1"/>
  <c r="J242" i="73"/>
  <c r="H242" i="73"/>
  <c r="G241" i="73"/>
  <c r="G240" i="73"/>
  <c r="J239" i="73"/>
  <c r="J238" i="73" s="1"/>
  <c r="I239" i="73"/>
  <c r="I238" i="73"/>
  <c r="H238" i="73"/>
  <c r="G237" i="73"/>
  <c r="G236" i="73"/>
  <c r="G235" i="73"/>
  <c r="J234" i="73"/>
  <c r="I234" i="73"/>
  <c r="H234" i="73"/>
  <c r="G233" i="73"/>
  <c r="G232" i="73"/>
  <c r="J231" i="73"/>
  <c r="J230" i="73" s="1"/>
  <c r="H231" i="73"/>
  <c r="I230" i="73"/>
  <c r="G229" i="73"/>
  <c r="G228" i="73"/>
  <c r="K223" i="73"/>
  <c r="J227" i="73"/>
  <c r="H227" i="73"/>
  <c r="M226" i="73"/>
  <c r="L226" i="73"/>
  <c r="J226" i="73"/>
  <c r="I226" i="73"/>
  <c r="M225" i="73"/>
  <c r="L225" i="73"/>
  <c r="K225" i="73"/>
  <c r="J225" i="73"/>
  <c r="I225" i="73"/>
  <c r="H225" i="73"/>
  <c r="J224" i="73"/>
  <c r="H224" i="73"/>
  <c r="M223" i="73"/>
  <c r="L223" i="73"/>
  <c r="G221" i="73"/>
  <c r="G220" i="73"/>
  <c r="G219" i="73"/>
  <c r="M218" i="73"/>
  <c r="L218" i="73"/>
  <c r="K218" i="73"/>
  <c r="J218" i="73"/>
  <c r="I218" i="73"/>
  <c r="H218" i="73"/>
  <c r="G217" i="73"/>
  <c r="G216" i="73"/>
  <c r="G215" i="73"/>
  <c r="M214" i="73"/>
  <c r="L214" i="73"/>
  <c r="K214" i="73"/>
  <c r="J214" i="73"/>
  <c r="I214" i="73"/>
  <c r="H214" i="73"/>
  <c r="G213" i="73"/>
  <c r="G212" i="73"/>
  <c r="G211" i="73"/>
  <c r="M210" i="73"/>
  <c r="L210" i="73"/>
  <c r="K210" i="73"/>
  <c r="J210" i="73"/>
  <c r="I210" i="73"/>
  <c r="H210" i="73"/>
  <c r="P209" i="73"/>
  <c r="G209" i="73"/>
  <c r="G208" i="73"/>
  <c r="K207" i="73"/>
  <c r="K206" i="73" s="1"/>
  <c r="J207" i="73"/>
  <c r="J206" i="73" s="1"/>
  <c r="H207" i="73"/>
  <c r="M206" i="73"/>
  <c r="L206" i="73"/>
  <c r="I206" i="73"/>
  <c r="H206" i="73"/>
  <c r="G205" i="73"/>
  <c r="G204" i="73"/>
  <c r="K203" i="73"/>
  <c r="I203" i="73"/>
  <c r="I202" i="73" s="1"/>
  <c r="H203" i="73"/>
  <c r="M202" i="73"/>
  <c r="L202" i="73"/>
  <c r="J202" i="73"/>
  <c r="G193" i="73"/>
  <c r="H192" i="73"/>
  <c r="H191" i="73"/>
  <c r="G191" i="73" s="1"/>
  <c r="W190" i="73"/>
  <c r="M190" i="73"/>
  <c r="L190" i="73"/>
  <c r="K190" i="73"/>
  <c r="J190" i="73"/>
  <c r="I190" i="73"/>
  <c r="G189" i="73"/>
  <c r="G188" i="73"/>
  <c r="G187" i="73"/>
  <c r="M186" i="73"/>
  <c r="L186" i="73"/>
  <c r="J186" i="73"/>
  <c r="I186" i="73"/>
  <c r="G185" i="73"/>
  <c r="G184" i="73"/>
  <c r="G183" i="73"/>
  <c r="M182" i="73"/>
  <c r="L182" i="73"/>
  <c r="K182" i="73"/>
  <c r="J182" i="73"/>
  <c r="I182" i="73"/>
  <c r="H182" i="73"/>
  <c r="G177" i="73"/>
  <c r="G176" i="73"/>
  <c r="P175" i="73"/>
  <c r="Q175" i="73" s="1"/>
  <c r="I175" i="73"/>
  <c r="G175" i="73" s="1"/>
  <c r="M174" i="73"/>
  <c r="L174" i="73"/>
  <c r="K174" i="73"/>
  <c r="J174" i="73"/>
  <c r="H174" i="73"/>
  <c r="G173" i="73"/>
  <c r="I172" i="73"/>
  <c r="I160" i="73" s="1"/>
  <c r="G171" i="73"/>
  <c r="M170" i="73"/>
  <c r="L170" i="73"/>
  <c r="K170" i="73"/>
  <c r="J170" i="73"/>
  <c r="H170" i="73"/>
  <c r="J161" i="73"/>
  <c r="G168" i="73"/>
  <c r="P167" i="73"/>
  <c r="Q167" i="73" s="1"/>
  <c r="K167" i="73"/>
  <c r="K166" i="73" s="1"/>
  <c r="M166" i="73"/>
  <c r="L166" i="73"/>
  <c r="I166" i="73"/>
  <c r="H166" i="73"/>
  <c r="G165" i="73"/>
  <c r="K164" i="73"/>
  <c r="K160" i="73" s="1"/>
  <c r="J164" i="73"/>
  <c r="H164" i="73"/>
  <c r="P163" i="73"/>
  <c r="Q163" i="73" s="1"/>
  <c r="L163" i="73"/>
  <c r="L159" i="73" s="1"/>
  <c r="K163" i="73"/>
  <c r="J163" i="73"/>
  <c r="I163" i="73"/>
  <c r="I162" i="73" s="1"/>
  <c r="M162" i="73"/>
  <c r="G157" i="73"/>
  <c r="G156" i="73"/>
  <c r="G155" i="73"/>
  <c r="J154" i="73"/>
  <c r="I154" i="73"/>
  <c r="H154" i="73"/>
  <c r="G153" i="73"/>
  <c r="G152" i="73"/>
  <c r="K151" i="73"/>
  <c r="G151" i="73" s="1"/>
  <c r="M150" i="73"/>
  <c r="L150" i="73"/>
  <c r="J150" i="73"/>
  <c r="I150" i="73"/>
  <c r="H150" i="73"/>
  <c r="G149" i="73"/>
  <c r="G148" i="73"/>
  <c r="K147" i="73"/>
  <c r="G147" i="73" s="1"/>
  <c r="M146" i="73"/>
  <c r="L146" i="73"/>
  <c r="J146" i="73"/>
  <c r="I146" i="73"/>
  <c r="H146" i="73"/>
  <c r="M129" i="73"/>
  <c r="L129" i="73"/>
  <c r="K145" i="73"/>
  <c r="K129" i="73" s="1"/>
  <c r="J145" i="73"/>
  <c r="J129" i="73" s="1"/>
  <c r="K144" i="73"/>
  <c r="J144" i="73"/>
  <c r="H144" i="73"/>
  <c r="H128" i="73" s="1"/>
  <c r="M143" i="73"/>
  <c r="M127" i="73" s="1"/>
  <c r="K143" i="73"/>
  <c r="J143" i="73"/>
  <c r="I142" i="73"/>
  <c r="H142" i="73"/>
  <c r="G141" i="73"/>
  <c r="J140" i="73"/>
  <c r="J139" i="73"/>
  <c r="I139" i="73"/>
  <c r="M138" i="73"/>
  <c r="L138" i="73"/>
  <c r="K138" i="73"/>
  <c r="I138" i="73"/>
  <c r="H138" i="73"/>
  <c r="G137" i="73"/>
  <c r="K136" i="73"/>
  <c r="G136" i="73" s="1"/>
  <c r="K135" i="73"/>
  <c r="I135" i="73"/>
  <c r="M134" i="73"/>
  <c r="L134" i="73"/>
  <c r="J134" i="73"/>
  <c r="I134" i="73"/>
  <c r="H134" i="73"/>
  <c r="G133" i="73"/>
  <c r="M132" i="73"/>
  <c r="M128" i="73" s="1"/>
  <c r="L132" i="73"/>
  <c r="K132" i="73"/>
  <c r="G132" i="73" s="1"/>
  <c r="K131" i="73"/>
  <c r="J131" i="73"/>
  <c r="J130" i="73" s="1"/>
  <c r="I131" i="73"/>
  <c r="I130" i="73" s="1"/>
  <c r="M130" i="73"/>
  <c r="L130" i="73"/>
  <c r="H130" i="73"/>
  <c r="I129" i="73"/>
  <c r="H129" i="73"/>
  <c r="I128" i="73"/>
  <c r="H127" i="73"/>
  <c r="G125" i="73"/>
  <c r="M124" i="73"/>
  <c r="M122" i="73" s="1"/>
  <c r="L124" i="73"/>
  <c r="K124" i="73"/>
  <c r="K122" i="73" s="1"/>
  <c r="J124" i="73"/>
  <c r="I124" i="73"/>
  <c r="I122" i="73" s="1"/>
  <c r="H124" i="73"/>
  <c r="H122" i="73" s="1"/>
  <c r="G123" i="73"/>
  <c r="L122" i="73"/>
  <c r="G121" i="73"/>
  <c r="G120" i="73"/>
  <c r="K119" i="73"/>
  <c r="K118" i="73" s="1"/>
  <c r="I119" i="73"/>
  <c r="I118" i="73" s="1"/>
  <c r="H119" i="73"/>
  <c r="M118" i="73"/>
  <c r="L118" i="73"/>
  <c r="J118" i="73"/>
  <c r="G105" i="73"/>
  <c r="K103" i="73"/>
  <c r="J103" i="73"/>
  <c r="I103" i="73"/>
  <c r="G97" i="73"/>
  <c r="G95" i="73"/>
  <c r="K94" i="73"/>
  <c r="J94" i="73"/>
  <c r="H94" i="73"/>
  <c r="G93" i="73"/>
  <c r="G92" i="73"/>
  <c r="G91" i="73"/>
  <c r="M90" i="73"/>
  <c r="L90" i="73"/>
  <c r="K90" i="73"/>
  <c r="J90" i="73"/>
  <c r="I90" i="73"/>
  <c r="H90" i="73"/>
  <c r="G89" i="73"/>
  <c r="M88" i="73"/>
  <c r="L88" i="73"/>
  <c r="K88" i="73"/>
  <c r="J88" i="73"/>
  <c r="I88" i="73"/>
  <c r="I87" i="73"/>
  <c r="G87" i="73" s="1"/>
  <c r="M86" i="73"/>
  <c r="L86" i="73"/>
  <c r="K86" i="73"/>
  <c r="J86" i="73"/>
  <c r="H86" i="73"/>
  <c r="G85" i="73"/>
  <c r="G84" i="73"/>
  <c r="K83" i="73"/>
  <c r="K82" i="73" s="1"/>
  <c r="J83" i="73"/>
  <c r="J35" i="73" s="1"/>
  <c r="I83" i="73"/>
  <c r="M82" i="73"/>
  <c r="L82" i="73"/>
  <c r="J82" i="73"/>
  <c r="H82" i="73"/>
  <c r="G53" i="73"/>
  <c r="M51" i="73"/>
  <c r="M35" i="73" s="1"/>
  <c r="K51" i="73"/>
  <c r="I51" i="73"/>
  <c r="I35" i="73" s="1"/>
  <c r="G48" i="73"/>
  <c r="M46" i="73"/>
  <c r="L46" i="73"/>
  <c r="K46" i="73"/>
  <c r="J46" i="73"/>
  <c r="I46" i="73"/>
  <c r="O44" i="73"/>
  <c r="K42" i="73"/>
  <c r="J42" i="73"/>
  <c r="I42" i="73"/>
  <c r="M38" i="73"/>
  <c r="L38" i="73"/>
  <c r="K38" i="73"/>
  <c r="J38" i="73"/>
  <c r="I38" i="73"/>
  <c r="G33" i="73"/>
  <c r="M32" i="73"/>
  <c r="M30" i="73" s="1"/>
  <c r="L32" i="73"/>
  <c r="L30" i="73" s="1"/>
  <c r="K32" i="73"/>
  <c r="G32" i="73" s="1"/>
  <c r="G31" i="73"/>
  <c r="J30" i="73"/>
  <c r="I30" i="73"/>
  <c r="H30" i="73"/>
  <c r="G29" i="73"/>
  <c r="M28" i="73"/>
  <c r="M26" i="73" s="1"/>
  <c r="L28" i="73"/>
  <c r="K28" i="73"/>
  <c r="K26" i="73" s="1"/>
  <c r="J28" i="73"/>
  <c r="G27" i="73"/>
  <c r="I26" i="73"/>
  <c r="H26" i="73"/>
  <c r="G25" i="73"/>
  <c r="G24" i="73"/>
  <c r="M23" i="73"/>
  <c r="L23" i="73"/>
  <c r="K23" i="73"/>
  <c r="K22" i="73" s="1"/>
  <c r="I23" i="73"/>
  <c r="I22" i="73" s="1"/>
  <c r="M22" i="73"/>
  <c r="J22" i="73"/>
  <c r="H22" i="73"/>
  <c r="G21" i="73"/>
  <c r="M19" i="73"/>
  <c r="K19" i="73"/>
  <c r="I19" i="73"/>
  <c r="M17" i="73"/>
  <c r="L17" i="73"/>
  <c r="K17" i="73"/>
  <c r="J17" i="73"/>
  <c r="I17" i="73"/>
  <c r="H17" i="73"/>
  <c r="J15" i="73"/>
  <c r="H15" i="73"/>
  <c r="J159" i="73" l="1"/>
  <c r="J122" i="73"/>
  <c r="J100" i="73"/>
  <c r="J98" i="73" s="1"/>
  <c r="L18" i="73"/>
  <c r="L5" i="73"/>
  <c r="K5" i="73"/>
  <c r="M5" i="73"/>
  <c r="K100" i="73"/>
  <c r="M100" i="73"/>
  <c r="K99" i="73"/>
  <c r="J160" i="73"/>
  <c r="L102" i="73"/>
  <c r="L100" i="73"/>
  <c r="L98" i="73" s="1"/>
  <c r="I36" i="73"/>
  <c r="J36" i="73"/>
  <c r="K35" i="73"/>
  <c r="L36" i="73"/>
  <c r="K36" i="73"/>
  <c r="M36" i="73"/>
  <c r="G178" i="73"/>
  <c r="K247" i="73"/>
  <c r="K246" i="73" s="1"/>
  <c r="I50" i="73"/>
  <c r="G164" i="73"/>
  <c r="G167" i="73"/>
  <c r="G174" i="73"/>
  <c r="G285" i="73"/>
  <c r="G262" i="73"/>
  <c r="K30" i="73"/>
  <c r="H18" i="73"/>
  <c r="G83" i="73"/>
  <c r="G82" i="73" s="1"/>
  <c r="I86" i="73"/>
  <c r="G90" i="73"/>
  <c r="G103" i="73"/>
  <c r="K159" i="73"/>
  <c r="K158" i="73" s="1"/>
  <c r="G258" i="73"/>
  <c r="G266" i="73"/>
  <c r="G292" i="73"/>
  <c r="I247" i="73"/>
  <c r="I246" i="73" s="1"/>
  <c r="H159" i="73"/>
  <c r="K262" i="73"/>
  <c r="G145" i="73"/>
  <c r="M224" i="73"/>
  <c r="M222" i="73" s="1"/>
  <c r="J247" i="73"/>
  <c r="J246" i="73" s="1"/>
  <c r="H160" i="73"/>
  <c r="G20" i="73"/>
  <c r="H12" i="73"/>
  <c r="J102" i="73"/>
  <c r="I159" i="73"/>
  <c r="G101" i="73"/>
  <c r="G195" i="73"/>
  <c r="G194" i="73" s="1"/>
  <c r="G17" i="73"/>
  <c r="G30" i="73"/>
  <c r="G139" i="73"/>
  <c r="J138" i="73"/>
  <c r="J127" i="73"/>
  <c r="G144" i="73"/>
  <c r="H162" i="73"/>
  <c r="I174" i="73"/>
  <c r="H223" i="73"/>
  <c r="I242" i="73"/>
  <c r="K258" i="73"/>
  <c r="J282" i="73"/>
  <c r="L282" i="73"/>
  <c r="M282" i="73"/>
  <c r="J286" i="73"/>
  <c r="G287" i="73"/>
  <c r="G286" i="73" s="1"/>
  <c r="G300" i="73"/>
  <c r="H194" i="73"/>
  <c r="J194" i="73"/>
  <c r="G28" i="73"/>
  <c r="G26" i="73" s="1"/>
  <c r="L16" i="73"/>
  <c r="K128" i="73"/>
  <c r="K130" i="73"/>
  <c r="K134" i="73"/>
  <c r="L142" i="73"/>
  <c r="K266" i="73"/>
  <c r="K6" i="73"/>
  <c r="K50" i="73"/>
  <c r="M158" i="73"/>
  <c r="H11" i="73"/>
  <c r="H50" i="73"/>
  <c r="L162" i="73"/>
  <c r="G214" i="73"/>
  <c r="G255" i="73"/>
  <c r="G254" i="73" s="1"/>
  <c r="I290" i="73"/>
  <c r="K290" i="73"/>
  <c r="M290" i="73"/>
  <c r="J298" i="73"/>
  <c r="L298" i="73"/>
  <c r="K298" i="73"/>
  <c r="M98" i="73"/>
  <c r="K224" i="73"/>
  <c r="G244" i="73"/>
  <c r="G242" i="73" s="1"/>
  <c r="K250" i="73"/>
  <c r="G104" i="73"/>
  <c r="G210" i="73"/>
  <c r="G218" i="73"/>
  <c r="G19" i="73"/>
  <c r="M15" i="73"/>
  <c r="M11" i="73" s="1"/>
  <c r="M307" i="73" s="1"/>
  <c r="M13" i="73"/>
  <c r="M309" i="73" s="1"/>
  <c r="K13" i="73"/>
  <c r="K309" i="73" s="1"/>
  <c r="K146" i="73"/>
  <c r="G248" i="73"/>
  <c r="G270" i="73"/>
  <c r="G278" i="73"/>
  <c r="K16" i="73"/>
  <c r="G51" i="73"/>
  <c r="G163" i="73"/>
  <c r="H102" i="73"/>
  <c r="G146" i="73"/>
  <c r="G150" i="73"/>
  <c r="J162" i="73"/>
  <c r="K162" i="73"/>
  <c r="G182" i="73"/>
  <c r="H190" i="73"/>
  <c r="G207" i="73"/>
  <c r="G206" i="73" s="1"/>
  <c r="G231" i="73"/>
  <c r="G230" i="73" s="1"/>
  <c r="G234" i="73"/>
  <c r="M246" i="73"/>
  <c r="I282" i="73"/>
  <c r="G294" i="73"/>
  <c r="G302" i="73"/>
  <c r="L13" i="73"/>
  <c r="L309" i="73" s="1"/>
  <c r="L128" i="73"/>
  <c r="I13" i="73"/>
  <c r="I309" i="73" s="1"/>
  <c r="H14" i="73"/>
  <c r="J16" i="73"/>
  <c r="L26" i="73"/>
  <c r="G88" i="73"/>
  <c r="G86" i="73" s="1"/>
  <c r="M126" i="73"/>
  <c r="L222" i="73"/>
  <c r="G239" i="73"/>
  <c r="G238" i="73" s="1"/>
  <c r="K286" i="73"/>
  <c r="J13" i="73"/>
  <c r="G46" i="73"/>
  <c r="H38" i="73"/>
  <c r="G45" i="73"/>
  <c r="G43" i="73"/>
  <c r="G40" i="73"/>
  <c r="J26" i="73"/>
  <c r="M6" i="73"/>
  <c r="L6" i="73"/>
  <c r="G124" i="73"/>
  <c r="G122" i="73" s="1"/>
  <c r="G135" i="73"/>
  <c r="G134" i="73" s="1"/>
  <c r="K142" i="73"/>
  <c r="G154" i="73"/>
  <c r="L158" i="73"/>
  <c r="G186" i="73"/>
  <c r="I223" i="73"/>
  <c r="I222" i="73" s="1"/>
  <c r="G225" i="73"/>
  <c r="K226" i="73"/>
  <c r="H230" i="73"/>
  <c r="J223" i="73"/>
  <c r="J222" i="73" s="1"/>
  <c r="G274" i="73"/>
  <c r="H283" i="73"/>
  <c r="G283" i="73" s="1"/>
  <c r="H286" i="73"/>
  <c r="G293" i="73"/>
  <c r="G301" i="73"/>
  <c r="K18" i="73"/>
  <c r="K15" i="73"/>
  <c r="L22" i="73"/>
  <c r="L15" i="73"/>
  <c r="I18" i="73"/>
  <c r="I16" i="73"/>
  <c r="M18" i="73"/>
  <c r="M16" i="73"/>
  <c r="G23" i="73"/>
  <c r="G22" i="73" s="1"/>
  <c r="I15" i="73"/>
  <c r="L94" i="73"/>
  <c r="I102" i="73"/>
  <c r="K102" i="73"/>
  <c r="M102" i="73"/>
  <c r="G119" i="73"/>
  <c r="G118" i="73" s="1"/>
  <c r="H118" i="73"/>
  <c r="G129" i="73"/>
  <c r="G143" i="73"/>
  <c r="J142" i="73"/>
  <c r="G169" i="73"/>
  <c r="J166" i="73"/>
  <c r="G172" i="73"/>
  <c r="G170" i="73" s="1"/>
  <c r="I170" i="73"/>
  <c r="L50" i="73"/>
  <c r="L42" i="73"/>
  <c r="I82" i="73"/>
  <c r="J6" i="73"/>
  <c r="I94" i="73"/>
  <c r="H126" i="73"/>
  <c r="L127" i="73"/>
  <c r="G131" i="73"/>
  <c r="G130" i="73" s="1"/>
  <c r="I127" i="73"/>
  <c r="I126" i="73" s="1"/>
  <c r="K127" i="73"/>
  <c r="G140" i="73"/>
  <c r="J128" i="73"/>
  <c r="M142" i="73"/>
  <c r="K150" i="73"/>
  <c r="G203" i="73"/>
  <c r="G202" i="73" s="1"/>
  <c r="H202" i="73"/>
  <c r="K202" i="73"/>
  <c r="G192" i="73"/>
  <c r="G190" i="73" s="1"/>
  <c r="G249" i="73"/>
  <c r="G284" i="73"/>
  <c r="G299" i="73"/>
  <c r="H298" i="73"/>
  <c r="H222" i="73"/>
  <c r="G227" i="73"/>
  <c r="G226" i="73" s="1"/>
  <c r="H226" i="73"/>
  <c r="H246" i="73"/>
  <c r="L246" i="73"/>
  <c r="G251" i="73"/>
  <c r="G250" i="73" s="1"/>
  <c r="K282" i="73"/>
  <c r="G291" i="73"/>
  <c r="H290" i="73"/>
  <c r="J290" i="73"/>
  <c r="L290" i="73"/>
  <c r="I298" i="73"/>
  <c r="M298" i="73"/>
  <c r="G166" i="73" l="1"/>
  <c r="L126" i="73"/>
  <c r="J11" i="73"/>
  <c r="H158" i="73"/>
  <c r="G102" i="73"/>
  <c r="H282" i="73"/>
  <c r="G162" i="73"/>
  <c r="G18" i="73"/>
  <c r="G290" i="73"/>
  <c r="G128" i="73"/>
  <c r="K126" i="73"/>
  <c r="G142" i="73"/>
  <c r="G223" i="73"/>
  <c r="G298" i="73"/>
  <c r="G138" i="73"/>
  <c r="M14" i="73"/>
  <c r="I12" i="73"/>
  <c r="K34" i="73"/>
  <c r="L12" i="73"/>
  <c r="K222" i="73"/>
  <c r="G224" i="73"/>
  <c r="G222" i="73" s="1"/>
  <c r="I158" i="73"/>
  <c r="I11" i="73"/>
  <c r="J158" i="73"/>
  <c r="I98" i="73"/>
  <c r="M12" i="73"/>
  <c r="J309" i="73"/>
  <c r="G282" i="73"/>
  <c r="K98" i="73"/>
  <c r="L11" i="73"/>
  <c r="K11" i="73"/>
  <c r="J14" i="73"/>
  <c r="J12" i="73"/>
  <c r="J308" i="73" s="1"/>
  <c r="K12" i="73"/>
  <c r="K308" i="73" s="1"/>
  <c r="G39" i="73"/>
  <c r="G41" i="73"/>
  <c r="H13" i="73"/>
  <c r="H308" i="73"/>
  <c r="G100" i="73"/>
  <c r="G16" i="73"/>
  <c r="G247" i="73"/>
  <c r="G246" i="73" s="1"/>
  <c r="G160" i="73"/>
  <c r="G161" i="73"/>
  <c r="G159" i="73"/>
  <c r="G127" i="73"/>
  <c r="G44" i="73"/>
  <c r="G42" i="73" s="1"/>
  <c r="M42" i="73"/>
  <c r="J126" i="73"/>
  <c r="I14" i="73"/>
  <c r="G15" i="73"/>
  <c r="G14" i="73" s="1"/>
  <c r="K14" i="73"/>
  <c r="J34" i="73"/>
  <c r="I34" i="73"/>
  <c r="G35" i="73"/>
  <c r="G99" i="73"/>
  <c r="G98" i="73" s="1"/>
  <c r="H98" i="73"/>
  <c r="G96" i="73"/>
  <c r="G94" i="73" s="1"/>
  <c r="M94" i="73"/>
  <c r="I308" i="73"/>
  <c r="L14" i="73"/>
  <c r="G126" i="73" l="1"/>
  <c r="H34" i="73"/>
  <c r="G11" i="73"/>
  <c r="G37" i="73"/>
  <c r="G38" i="73"/>
  <c r="J10" i="73"/>
  <c r="J307" i="73"/>
  <c r="I10" i="73"/>
  <c r="I307" i="73"/>
  <c r="I306" i="73" s="1"/>
  <c r="I311" i="73" s="1"/>
  <c r="M50" i="73"/>
  <c r="G52" i="73"/>
  <c r="G50" i="73" s="1"/>
  <c r="L307" i="73"/>
  <c r="H10" i="73"/>
  <c r="K10" i="73"/>
  <c r="K307" i="73"/>
  <c r="K306" i="73" s="1"/>
  <c r="K311" i="73" s="1"/>
  <c r="L308" i="73"/>
  <c r="L34" i="73"/>
  <c r="G158" i="73"/>
  <c r="J306" i="73" l="1"/>
  <c r="G13" i="73"/>
  <c r="H309" i="73"/>
  <c r="G309" i="73" s="1"/>
  <c r="H307" i="73"/>
  <c r="G307" i="73" s="1"/>
  <c r="L10" i="73"/>
  <c r="M34" i="73"/>
  <c r="G36" i="73"/>
  <c r="G34" i="73" s="1"/>
  <c r="L306" i="73"/>
  <c r="L311" i="73" s="1"/>
  <c r="J311" i="73" l="1"/>
  <c r="H306" i="73"/>
  <c r="AO38" i="73"/>
  <c r="AO37" i="73"/>
  <c r="AO36" i="73"/>
  <c r="AO35" i="73"/>
  <c r="M10" i="73"/>
  <c r="M308" i="73"/>
  <c r="G12" i="73"/>
  <c r="G10" i="73" s="1"/>
  <c r="M306" i="73" l="1"/>
  <c r="M311" i="73" s="1"/>
  <c r="G308" i="73"/>
  <c r="G306" i="73" s="1"/>
  <c r="AO39" i="73"/>
  <c r="G147" i="74" l="1"/>
  <c r="G146" i="74" s="1"/>
  <c r="K146" i="74"/>
  <c r="K127" i="74"/>
  <c r="K126" i="74" l="1"/>
  <c r="G127" i="74"/>
  <c r="G126" i="74" s="1"/>
  <c r="K11" i="74"/>
  <c r="K311" i="74" l="1"/>
  <c r="K10" i="74"/>
  <c r="G11" i="74"/>
  <c r="G10" i="74" s="1"/>
  <c r="K310" i="74" l="1"/>
  <c r="K315" i="74" s="1"/>
  <c r="G311" i="74"/>
  <c r="G310" i="74" s="1"/>
</calcChain>
</file>

<file path=xl/comments1.xml><?xml version="1.0" encoding="utf-8"?>
<comments xmlns="http://schemas.openxmlformats.org/spreadsheetml/2006/main">
  <authors>
    <author>obpm2</author>
  </authors>
  <commentList>
    <comment ref="N2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79" authorId="0" shape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2.xml><?xml version="1.0" encoding="utf-8"?>
<comments xmlns="http://schemas.openxmlformats.org/spreadsheetml/2006/main">
  <authors>
    <author>obpm2</author>
  </authors>
  <commentList>
    <comment ref="N2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 shape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3.xml><?xml version="1.0" encoding="utf-8"?>
<comments xmlns="http://schemas.openxmlformats.org/spreadsheetml/2006/main">
  <authors>
    <author>obpm2</author>
  </authors>
  <commentList>
    <comment ref="N2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 shape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4.xml><?xml version="1.0" encoding="utf-8"?>
<comments xmlns="http://schemas.openxmlformats.org/spreadsheetml/2006/main">
  <authors>
    <author>obpm2</author>
  </authors>
  <commentList>
    <comment ref="N2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 shape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sharedStrings.xml><?xml version="1.0" encoding="utf-8"?>
<sst xmlns="http://schemas.openxmlformats.org/spreadsheetml/2006/main" count="2767" uniqueCount="160">
  <si>
    <t xml:space="preserve">ПЕРЕЧЕНЬ мероприятий 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</si>
  <si>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</si>
  <si>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</si>
  <si>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</si>
  <si>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</si>
  <si>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Соисполнители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</si>
  <si>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</si>
  <si>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</si>
  <si>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</si>
  <si>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</si>
  <si>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</si>
  <si>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Управление образования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</si>
  <si>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</si>
  <si>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2020-2024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</si>
  <si>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</si>
  <si>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</si>
  <si>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</si>
  <si>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</si>
  <si>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</si>
  <si>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</si>
  <si>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 xml:space="preserve"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 образования в соответствии с соглашением Министерства образования и науки Архангельской области;                         </t>
  </si>
  <si>
    <t>Обеспечение деятельности дошкольных образовательных организаций (муниципальное задание)</t>
  </si>
  <si>
    <t xml:space="preserve">Проезд к месту отдыха и обратно 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</si>
  <si>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</si>
  <si>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</si>
  <si>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1.2.</t>
  </si>
  <si>
    <t>Обеспечение доступности и качества общего образования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</si>
  <si>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</si>
  <si>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                                                                                           11) Доля детей, получающих услугу по подвозу на олимпиады, конкурсы, мероприятия:
 Муниципальный этап – 35%
Региональный этап – 6% 
                                                                                                                              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</si>
  <si>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</si>
  <si>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</si>
  <si>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</si>
  <si>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</si>
  <si>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</si>
  <si>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Обеспечение высокоскоростного интернета</t>
  </si>
  <si>
    <t>Обеспечение деятельности общеобразовательных организаций (муниципальное задание)</t>
  </si>
  <si>
    <t>Выявление детей с ограниченными возможностями здоровья и проведение их комплексного обследования (ЦППРК)</t>
  </si>
  <si>
    <t xml:space="preserve"> МБОУ ОСШ №2</t>
  </si>
  <si>
    <t>1.2.8.</t>
  </si>
  <si>
    <t>Резервный фонд для создания групп,классов-комплектов и объединений дополнительного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</si>
  <si>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</si>
  <si>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Подвоз на олимпиады, конкурсы, мероприятия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</si>
  <si>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</si>
  <si>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Организация и проведение учебных сборов  юношей 10-х классов.</t>
  </si>
  <si>
    <t>1.3.</t>
  </si>
  <si>
    <t>Мероприятия направленные на повышение престижа профессии педагог</t>
  </si>
  <si>
    <t>1.3.2.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</si>
  <si>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</si>
  <si>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</si>
  <si>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Развитие дополнительного образования обучающихся  Устьянского района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</si>
  <si>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</si>
  <si>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80% охваченных образовательными программами дополнительного образования НП "Успех каждого ребенка";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 НП "Успех каждого ребенка";
3) 95% участников открытых онлайн-уроков, реализуемых с учетом опыта цикла открытых уроков «Проектория», направленных на раннюю профориентацию НП "Успех каждого ребенка";                         4)30%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
5) 30% обучающихся  охваченных в технозонах «ДАТА –парка» НП "Успех каждого ребенка";
6) 8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 НП "Современная школа";
7) 2000 обучающихся занятых в центрах гуманитарного и цифрового профиля (Точки роста) НП "Успех каждого ребенка";                                                                                                8) 55%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9)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</si>
  <si>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>Обеспечение деятельности образовательных организаций дополнительного образования  (муниципальное задание)</t>
  </si>
  <si>
    <t>Открытие  центров цифрового, гуманитарного профиля (точки роста)</t>
  </si>
  <si>
    <t>МБОУ ОСОШ №1; МБОУ УСТЬЯНСКАЯ СОШ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</si>
  <si>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</si>
  <si>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1.5.</t>
  </si>
  <si>
    <t>Создание условий для укрепления здоровья учащихся</t>
  </si>
  <si>
    <t>Приобретение спортивного инвентаря и оборудования</t>
  </si>
  <si>
    <t>Ремонт спортивных залов и обновление материально-технической  базы  для занятий физической культурой и спортом</t>
  </si>
  <si>
    <t xml:space="preserve"> МБОУ БЕСТУЖ.СОШ; МБОУ ДМИТР.СОШ; МБОУ КИЗЕМ.СОШ; МБОУ МАЛОД.СОШ</t>
  </si>
  <si>
    <t>Создание и модернизация объектов спортивной инфраструктуры для занятий физической культурой и спортом</t>
  </si>
  <si>
    <t>МБОУ "ИЛЕЗСКАЯ СОШ"</t>
  </si>
  <si>
    <t>Устройство душевых комнат в здании раздевалок хоккейного корта</t>
  </si>
  <si>
    <t>Обеспечение питанием обучающихся,проживающих в интернате</t>
  </si>
  <si>
    <t>МБОУ УЛЬЯНОВСКАЯ СОШ; МБОУ УСТЬЯНСКАЯ СОШ</t>
  </si>
  <si>
    <t>100% детей, проживающих в интернате, получают горячее питание</t>
  </si>
  <si>
    <t xml:space="preserve">Оснащение пищеблоков в образовательных учреждениях </t>
  </si>
  <si>
    <t>100% образовательных организаций оснащены пищеблоками</t>
  </si>
  <si>
    <t>Укрепление материально-технической базы дошкольных образовательных организаций</t>
  </si>
  <si>
    <t xml:space="preserve">Обновление материально-технической базы дошкольных образовательных организаций </t>
  </si>
  <si>
    <t>Обустройство плоскостных сооружений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</si>
  <si>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</si>
  <si>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100% детей, осваивающих образовательные программы начального общего образования получают горячее питание</t>
  </si>
  <si>
    <t xml:space="preserve"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
</t>
  </si>
  <si>
    <t>100% детей с ограниченными возможностями здоровья, сирот и инвалидов в дошкольных образовательных организациях получают бесплатное питание</t>
  </si>
  <si>
    <t xml:space="preserve">Субсидия на организацию бесплатного двухразового питания обучающихся с ограниченными возможностями здоровья в образовательных учреждениях
 </t>
  </si>
  <si>
    <t>100% детей с ограниченными возможностями здоровья осваивающих образовательные программы  получают бесплатное двухразовое питание</t>
  </si>
  <si>
    <t>2.1.</t>
  </si>
  <si>
    <t>Проведение ремонтных работ в образовательных организациях</t>
  </si>
  <si>
    <t xml:space="preserve"> МБОУ ДМИТ.СОШ; МБОУ КИЗ.СОШ; МБОУ СТР.СОШ; МБОУ УСТ.СОШ; МБОУ УЛ.СОШ</t>
  </si>
  <si>
    <t>2.2.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</si>
  <si>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</t>
  </si>
  <si>
    <t>2.3.</t>
  </si>
  <si>
    <t>Создание условий, отвечающих требованиям пожарной безопасности</t>
  </si>
  <si>
    <t>Установка цифрового образовательного кольца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</si>
  <si>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</si>
  <si>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</si>
  <si>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 xml:space="preserve"> Создание муниципального информационно-библиотечного центра и  школьных ИБЦ</t>
  </si>
  <si>
    <t>2.7.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</si>
  <si>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</si>
  <si>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2.8.</t>
  </si>
  <si>
    <t>Благоустройство территорий муниципальных образовательных организаций</t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</si>
  <si>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</si>
  <si>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3.1.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</si>
  <si>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</si>
  <si>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Акарицидная обработка территорий оздровительных лагерей с дневным пребыванием детей</t>
  </si>
  <si>
    <t>Организация курсовой подготовки работников, занятых организацией летнего отдыха детей</t>
  </si>
  <si>
    <t>Трудоустройство несовершеннолетних, в т.ч несовершеннолетних, попавших в трудную жизненную ситуацию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</si>
  <si>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</si>
  <si>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Мероприятия по оздоровлению и организации занятости детей</t>
  </si>
  <si>
    <r>
      <t>УПРАВЛЕНИЕ КУЛЬТУРЫ</t>
    </r>
    <r>
      <rPr>
        <sz val="8"/>
        <rFont val="Times New Roman"/>
        <family val="1"/>
        <charset val="204"/>
      </rPr>
      <t>;</t>
    </r>
    <r>
      <rPr>
        <sz val="6"/>
        <rFont val="Times New Roman"/>
        <family val="1"/>
        <charset val="204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</si>
  <si>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4.1.</t>
  </si>
  <si>
    <t>Школа одаренных детей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</si>
  <si>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</si>
  <si>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</si>
  <si>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4.5.</t>
  </si>
  <si>
    <t>Организация и проведение районного праздника "Юные дарования Устьи"</t>
  </si>
  <si>
    <t>4.6.</t>
  </si>
  <si>
    <t xml:space="preserve">Развитие технического творчества </t>
  </si>
  <si>
    <t>Развитие естественно-научного направления</t>
  </si>
  <si>
    <t>4.7.</t>
  </si>
  <si>
    <t>5.1.</t>
  </si>
  <si>
    <t>-</t>
  </si>
  <si>
    <t>эффективность реализации муниципальной программы - 0,9</t>
  </si>
  <si>
    <t>.</t>
  </si>
  <si>
    <t>ИТОГО ОБЪЕМЫ ФИНАНСИРОВАНИЯ ПО ПРОГРАММЕ</t>
  </si>
  <si>
    <t>субвенция</t>
  </si>
  <si>
    <t>льготы педагогам</t>
  </si>
  <si>
    <t>Реализация мероприятий по модернизации (капитальному ремонту) школьных систем образования</t>
  </si>
  <si>
    <t>2.4.</t>
  </si>
  <si>
    <t>2.6.</t>
  </si>
  <si>
    <t>2.9.</t>
  </si>
  <si>
    <t>Подпрограмма 6 "Создание условий для развития кадрового потенциала" Задача:  Обеспечение потребности системы образования Устьянского муниципального района в квалифицированных кадрах (педагогах) с высшим образованием</t>
  </si>
  <si>
    <t>6.1.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</si>
  <si>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</si>
  <si>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Привлечение студентов для дальнейшей работы в образовательных учреждениях, расположенных на территории муниципального образования Устьянский муниципальный район - 2 педагога в год</t>
  </si>
  <si>
    <t>Подпрограмма 7 "Создание условий для повышения престижа учительской профессии" Задача: повышение престижа профессии педагога в профессиональной среде и обществе</t>
  </si>
  <si>
    <t>7.1.</t>
  </si>
  <si>
    <t>Участие в мероприятиях направленных на повышение престижа профессии педагог</t>
  </si>
  <si>
    <t>Увеличение до 15% доли педагогов, обобщивших  и распространивших свой  педагогический опыт;
Увеличение доли образовательных организаций, внедряющих инновационные методы и приёмы воспитания (от общего количества образовательных организаций) до 60%;
Количество педагогов, принявших участие в конкурсах профессионального мастерства муниципального уровня – 12 чел</t>
  </si>
  <si>
    <t>Приложение 4</t>
  </si>
  <si>
    <t>Спортивные соревнования и др.(спартакиада, раонные меропр.)</t>
  </si>
  <si>
    <t>в т.ч. Местный бюджет</t>
  </si>
  <si>
    <t xml:space="preserve"> "Развитие образования Устьянского муниципального округа"</t>
  </si>
  <si>
    <t>"Развитие образования Устьянского муниципального округа"</t>
  </si>
  <si>
    <t xml:space="preserve">Субсидия на обеспечение мероприятий по организации предоставления дополнительных мер социальной поддержи семьям военнослужащих в виде бесплатного питания обучающихся в ОО и бесплатного присмотра и ухода за детьми  в ДОУ
 </t>
  </si>
  <si>
    <t>100% детей получают дополнительные меры социальной поддержи семьям военнослужащих в виде бесплатного питания обучающихся в ОО и бесплатного присмотра и ухода за детьми  в ДОУ</t>
  </si>
  <si>
    <t>Укрепление  материально-технической базы  стационарных  оздоровительных лагерей</t>
  </si>
  <si>
    <t>Подпрограмма 5 "Создание условий для реализации программы" Задача: обеспечить эффективную деятельность органов исполнительной власти в сфере образования</t>
  </si>
  <si>
    <t>Расходы на содержание органов местного самоуправления в сфере образования</t>
  </si>
  <si>
    <t>Подпрограмма 3 "Отдых  детей  в  каникулярный  период" Цели: создать условия для организации и обеспечения отдыха, оздоровления и занятости детей  в каникулярный период.</t>
  </si>
  <si>
    <t>Подпрограмма 4 "Создание условий для развития одаренных детей" Цели: выявление и поддержка одаренных (талантливых) детей,  создание  условий, обеспечивающих повышение творческой активности, развитию лидерских качеств обучающихся.</t>
  </si>
  <si>
    <t xml:space="preserve">Подпрограмма 2 "Создание безопасной инфраструктуры образовательных организаций" Цель: обеспечить современные (безопасные) условия для организации общего и дополнительного образования в Устьянском муниципальном округе.
</t>
  </si>
  <si>
    <t>7.2.</t>
  </si>
  <si>
    <t>7.3.</t>
  </si>
  <si>
    <t>Подпрограмма 1 "Развитие  общего и дополнительного образования Устьянского муниципального окргуа"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</si>
  <si>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>УПРАВЛЕНИЕ КУЛЬТУРЫ;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</si>
  <si>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100% транспортных средств, осуществляющих подвоз детей к месту учебы и обратно, срок эксплуатации которых не превышает 10 лет;                                                                                                                    3) 100% муниципальных  образовательных учреждений в которых установлена пожарная сигнализация
4) 50% муниципальных общеобразовательных учреждений с моделью цифровой образовательной среды НП "Цифровая образовательная среда";                                                                                                                     5) 100% муниципальных  образовательных учреждений, в которых установлены системы  видеонаблюдения;
6) 9 спортивных залов с обновленной материально-технической  базой  для занятий физической культурой и спортом
7) 6 муниципальных общеобразовательных учреждений в которых установлено цифровое образовательное кольцо
8) 40%  информационно библиотечных центров в числе общего количества школьных библиотек
</t>
  </si>
  <si>
    <t xml:space="preserve"> МБОУУстСОШ</t>
  </si>
  <si>
    <t xml:space="preserve">
1) 5% несовершеннолетних  охвачены трудоустройством в т.ч  несовершеннолетних попавших в ТЖС;
2) 70% детей охвачены организованным оздоровлением;</t>
  </si>
  <si>
    <t>65% детей, охваченных образовательными программами дополнительного образования физкультурно-оздоровительной и спортивной направленности;                                                         - 8%  участники   районного праздника  «Юные дарования Устьи»;
- Участие во всероссийской олимпиаде школьников:
Школьный этап – 60%      Муниципальный этап – 35%
Региональный этап – 6%       Заключительный этап -0,06%</t>
  </si>
  <si>
    <t>к постановлению от 08 февраля 2023 года № 201</t>
  </si>
  <si>
    <t>2020-2025</t>
  </si>
  <si>
    <r>
      <t xml:space="preserve">Обеспечение функционирования системы персонифицированного финансирования дополнительного образования детей </t>
    </r>
    <r>
      <rPr>
        <sz val="12"/>
        <color rgb="FFFF0000"/>
        <rFont val="Times New Roman"/>
        <family val="1"/>
        <charset val="204"/>
      </rPr>
      <t>(через предоставление социальных сертификатов)</t>
    </r>
  </si>
  <si>
    <t>Реализация мероприятий по модернизации системы дошкольного образования</t>
  </si>
  <si>
    <t>Обеспечение функционирования системы персонифицированного финансирования дополнительного образования детей (через предоставление социальных сертификатов)</t>
  </si>
  <si>
    <t>к постановлению от 17 марта 2023 года № 450</t>
  </si>
  <si>
    <t>к постановлению от 10 апреля 2023 года № 672</t>
  </si>
  <si>
    <t>к постановлению от 20 июня 2023 года №1310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</si>
</sst>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0"/>
      <name val="Arial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sz val="9"/>
      <color theme="0" tint="-0.1499984740745262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/>
    <xf numFmtId="164" fontId="3" fillId="2" borderId="0" xfId="0" applyNumberFormat="1" applyFont="1" applyFill="1"/>
    <xf numFmtId="164" fontId="15" fillId="2" borderId="0" xfId="0" applyNumberFormat="1" applyFont="1" applyFill="1"/>
    <xf numFmtId="4" fontId="15" fillId="2" borderId="2" xfId="0" applyNumberFormat="1" applyFont="1" applyFill="1" applyBorder="1"/>
    <xf numFmtId="0" fontId="15" fillId="2" borderId="0" xfId="0" applyFont="1" applyFill="1"/>
    <xf numFmtId="0" fontId="3" fillId="2" borderId="2" xfId="0" applyFont="1" applyFill="1" applyBorder="1"/>
    <xf numFmtId="0" fontId="3" fillId="0" borderId="1" xfId="0" applyFont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2" fillId="2" borderId="0" xfId="0" applyFont="1" applyFill="1"/>
    <xf numFmtId="0" fontId="12" fillId="0" borderId="0" xfId="0" applyFont="1" applyAlignment="1">
      <alignment vertical="center"/>
    </xf>
    <xf numFmtId="4" fontId="13" fillId="2" borderId="0" xfId="0" applyNumberFormat="1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4" fontId="12" fillId="0" borderId="1" xfId="0" applyNumberFormat="1" applyFont="1" applyBorder="1"/>
    <xf numFmtId="0" fontId="12" fillId="0" borderId="1" xfId="0" applyFont="1" applyBorder="1"/>
    <xf numFmtId="0" fontId="12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4" fontId="12" fillId="2" borderId="0" xfId="0" applyNumberFormat="1" applyFont="1" applyFill="1"/>
    <xf numFmtId="0" fontId="14" fillId="2" borderId="0" xfId="1" applyFont="1" applyFill="1"/>
    <xf numFmtId="4" fontId="14" fillId="2" borderId="0" xfId="1" applyNumberFormat="1" applyFont="1" applyFill="1"/>
    <xf numFmtId="4" fontId="16" fillId="2" borderId="0" xfId="0" applyNumberFormat="1" applyFont="1" applyFill="1"/>
    <xf numFmtId="0" fontId="3" fillId="3" borderId="1" xfId="0" applyFont="1" applyFill="1" applyBorder="1"/>
    <xf numFmtId="4" fontId="12" fillId="3" borderId="1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4" fontId="12" fillId="4" borderId="1" xfId="0" applyNumberFormat="1" applyFont="1" applyFill="1" applyBorder="1"/>
    <xf numFmtId="4" fontId="12" fillId="4" borderId="1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" fontId="8" fillId="2" borderId="0" xfId="0" applyNumberFormat="1" applyFont="1" applyFill="1"/>
    <xf numFmtId="0" fontId="3" fillId="5" borderId="1" xfId="0" applyFont="1" applyFill="1" applyBorder="1"/>
    <xf numFmtId="4" fontId="12" fillId="5" borderId="1" xfId="0" applyNumberFormat="1" applyFont="1" applyFill="1" applyBorder="1"/>
    <xf numFmtId="4" fontId="17" fillId="2" borderId="0" xfId="0" applyNumberFormat="1" applyFont="1" applyFill="1"/>
    <xf numFmtId="0" fontId="17" fillId="0" borderId="0" xfId="0" applyFont="1" applyAlignment="1">
      <alignment horizontal="left" vertical="center" indent="1"/>
    </xf>
    <xf numFmtId="4" fontId="12" fillId="0" borderId="1" xfId="0" applyNumberFormat="1" applyFont="1" applyFill="1" applyBorder="1"/>
    <xf numFmtId="0" fontId="3" fillId="0" borderId="1" xfId="0" applyFont="1" applyFill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3" fillId="2" borderId="0" xfId="1" applyFont="1" applyFill="1" applyAlignment="1">
      <alignment horizontal="center" vertical="center"/>
    </xf>
    <xf numFmtId="0" fontId="10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/>
    <xf numFmtId="0" fontId="12" fillId="2" borderId="0" xfId="1" applyFont="1" applyFill="1"/>
    <xf numFmtId="4" fontId="3" fillId="2" borderId="0" xfId="1" applyNumberFormat="1" applyFont="1" applyFill="1"/>
    <xf numFmtId="0" fontId="12" fillId="0" borderId="0" xfId="1" applyFont="1" applyAlignment="1">
      <alignment vertical="center"/>
    </xf>
    <xf numFmtId="0" fontId="12" fillId="0" borderId="0" xfId="1" applyFont="1" applyAlignment="1">
      <alignment horizontal="right" vertical="center" indent="1"/>
    </xf>
    <xf numFmtId="4" fontId="13" fillId="2" borderId="0" xfId="1" applyNumberFormat="1" applyFont="1" applyFill="1" applyAlignment="1">
      <alignment horizontal="center" wrapText="1"/>
    </xf>
    <xf numFmtId="0" fontId="13" fillId="2" borderId="0" xfId="1" applyFont="1" applyFill="1" applyAlignment="1">
      <alignment horizontal="center" wrapText="1"/>
    </xf>
    <xf numFmtId="0" fontId="12" fillId="0" borderId="0" xfId="1" applyFont="1" applyAlignment="1">
      <alignment horizontal="left" vertical="center" indent="1"/>
    </xf>
    <xf numFmtId="4" fontId="12" fillId="2" borderId="0" xfId="1" applyNumberFormat="1" applyFont="1" applyFill="1"/>
    <xf numFmtId="4" fontId="16" fillId="2" borderId="0" xfId="1" applyNumberFormat="1" applyFont="1" applyFill="1"/>
    <xf numFmtId="0" fontId="17" fillId="0" borderId="0" xfId="1" applyFont="1" applyAlignment="1">
      <alignment horizontal="left" vertical="center" indent="1"/>
    </xf>
    <xf numFmtId="4" fontId="17" fillId="2" borderId="0" xfId="1" applyNumberFormat="1" applyFont="1" applyFill="1"/>
    <xf numFmtId="0" fontId="10" fillId="2" borderId="0" xfId="1" applyFont="1" applyFill="1" applyAlignment="1">
      <alignment horizontal="center"/>
    </xf>
    <xf numFmtId="0" fontId="11" fillId="2" borderId="1" xfId="1" applyFont="1" applyFill="1" applyBorder="1" applyAlignment="1">
      <alignment horizontal="center" wrapText="1"/>
    </xf>
    <xf numFmtId="0" fontId="11" fillId="2" borderId="1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0" fontId="3" fillId="3" borderId="1" xfId="1" applyFont="1" applyFill="1" applyBorder="1"/>
    <xf numFmtId="4" fontId="12" fillId="3" borderId="1" xfId="1" applyNumberFormat="1" applyFont="1" applyFill="1" applyBorder="1"/>
    <xf numFmtId="4" fontId="12" fillId="3" borderId="1" xfId="1" applyNumberFormat="1" applyFont="1" applyFill="1" applyBorder="1" applyAlignment="1">
      <alignment horizontal="right"/>
    </xf>
    <xf numFmtId="0" fontId="3" fillId="4" borderId="1" xfId="1" applyFont="1" applyFill="1" applyBorder="1"/>
    <xf numFmtId="4" fontId="12" fillId="4" borderId="1" xfId="1" applyNumberFormat="1" applyFont="1" applyFill="1" applyBorder="1"/>
    <xf numFmtId="4" fontId="12" fillId="4" borderId="1" xfId="1" applyNumberFormat="1" applyFont="1" applyFill="1" applyBorder="1" applyAlignment="1">
      <alignment horizontal="right"/>
    </xf>
    <xf numFmtId="0" fontId="3" fillId="0" borderId="1" xfId="1" applyFont="1" applyBorder="1"/>
    <xf numFmtId="4" fontId="12" fillId="0" borderId="1" xfId="1" applyNumberFormat="1" applyFont="1" applyBorder="1"/>
    <xf numFmtId="4" fontId="12" fillId="0" borderId="1" xfId="1" applyNumberFormat="1" applyFont="1" applyFill="1" applyBorder="1"/>
    <xf numFmtId="164" fontId="3" fillId="2" borderId="2" xfId="1" applyNumberFormat="1" applyFont="1" applyFill="1" applyBorder="1"/>
    <xf numFmtId="164" fontId="3" fillId="2" borderId="0" xfId="1" applyNumberFormat="1" applyFont="1" applyFill="1"/>
    <xf numFmtId="164" fontId="15" fillId="2" borderId="0" xfId="1" applyNumberFormat="1" applyFont="1" applyFill="1"/>
    <xf numFmtId="0" fontId="3" fillId="0" borderId="1" xfId="1" applyFont="1" applyFill="1" applyBorder="1"/>
    <xf numFmtId="4" fontId="15" fillId="2" borderId="2" xfId="1" applyNumberFormat="1" applyFont="1" applyFill="1" applyBorder="1"/>
    <xf numFmtId="0" fontId="15" fillId="2" borderId="0" xfId="1" applyFont="1" applyFill="1"/>
    <xf numFmtId="0" fontId="12" fillId="0" borderId="1" xfId="1" applyFont="1" applyBorder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left" vertical="center" indent="1"/>
    </xf>
    <xf numFmtId="0" fontId="3" fillId="3" borderId="3" xfId="1" applyFont="1" applyFill="1" applyBorder="1" applyAlignment="1">
      <alignment vertical="center" wrapText="1"/>
    </xf>
    <xf numFmtId="0" fontId="3" fillId="3" borderId="5" xfId="1" applyFont="1" applyFill="1" applyBorder="1" applyAlignment="1">
      <alignment vertical="center" wrapText="1"/>
    </xf>
    <xf numFmtId="0" fontId="3" fillId="5" borderId="1" xfId="1" applyFont="1" applyFill="1" applyBorder="1"/>
    <xf numFmtId="4" fontId="12" fillId="5" borderId="1" xfId="1" applyNumberFormat="1" applyFont="1" applyFill="1" applyBorder="1"/>
    <xf numFmtId="4" fontId="8" fillId="2" borderId="0" xfId="1" applyNumberFormat="1" applyFont="1" applyFill="1"/>
    <xf numFmtId="0" fontId="12" fillId="2" borderId="0" xfId="1" applyFont="1" applyFill="1" applyAlignment="1">
      <alignment horizontal="left" vertical="center" indent="1"/>
    </xf>
    <xf numFmtId="0" fontId="3" fillId="2" borderId="3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left" vertical="center" wrapText="1" indent="1"/>
    </xf>
    <xf numFmtId="0" fontId="12" fillId="2" borderId="5" xfId="0" applyFont="1" applyFill="1" applyBorder="1" applyAlignment="1">
      <alignment horizontal="left" vertical="center" wrapText="1" indent="1"/>
    </xf>
    <xf numFmtId="14" fontId="3" fillId="2" borderId="4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" fontId="3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inden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left" vertical="center" wrapText="1" indent="1"/>
    </xf>
    <xf numFmtId="0" fontId="12" fillId="2" borderId="10" xfId="0" applyFont="1" applyFill="1" applyBorder="1" applyAlignment="1">
      <alignment horizontal="left" vertical="center" wrapText="1" indent="1"/>
    </xf>
    <xf numFmtId="0" fontId="8" fillId="2" borderId="4" xfId="1" applyFont="1" applyFill="1" applyBorder="1" applyAlignment="1">
      <alignment horizontal="left" vertical="center" wrapText="1" indent="1"/>
    </xf>
    <xf numFmtId="0" fontId="8" fillId="2" borderId="3" xfId="1" applyFont="1" applyFill="1" applyBorder="1" applyAlignment="1">
      <alignment horizontal="left" vertical="center" wrapText="1" inden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2" fillId="5" borderId="9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 wrapText="1" indent="1"/>
    </xf>
    <xf numFmtId="0" fontId="3" fillId="2" borderId="3" xfId="1" applyFont="1" applyFill="1" applyBorder="1" applyAlignment="1">
      <alignment horizontal="left" vertical="center" wrapText="1" inden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left" vertical="center" wrapText="1"/>
    </xf>
    <xf numFmtId="0" fontId="18" fillId="3" borderId="5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left" vertical="center" wrapText="1" indent="1"/>
    </xf>
    <xf numFmtId="0" fontId="12" fillId="2" borderId="3" xfId="1" applyFont="1" applyFill="1" applyBorder="1" applyAlignment="1">
      <alignment horizontal="left" vertical="center" wrapText="1" indent="1"/>
    </xf>
    <xf numFmtId="0" fontId="10" fillId="0" borderId="3" xfId="1" applyFont="1" applyFill="1" applyBorder="1" applyAlignment="1">
      <alignment horizontal="left" vertical="center" wrapText="1" indent="1"/>
    </xf>
    <xf numFmtId="0" fontId="10" fillId="0" borderId="5" xfId="1" applyFont="1" applyFill="1" applyBorder="1" applyAlignment="1">
      <alignment horizontal="left" vertical="center" wrapText="1" inden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 indent="1"/>
    </xf>
    <xf numFmtId="0" fontId="12" fillId="2" borderId="1" xfId="1" applyFont="1" applyFill="1" applyBorder="1" applyAlignment="1">
      <alignment horizontal="left" vertical="center" indent="1"/>
    </xf>
    <xf numFmtId="0" fontId="7" fillId="3" borderId="4" xfId="1" applyFont="1" applyFill="1" applyBorder="1" applyAlignment="1">
      <alignment horizontal="center" vertical="center" wrapText="1"/>
    </xf>
    <xf numFmtId="16" fontId="3" fillId="2" borderId="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left" vertical="center" wrapText="1" inden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left" vertical="center" wrapText="1" indent="1"/>
    </xf>
    <xf numFmtId="0" fontId="12" fillId="2" borderId="2" xfId="1" applyFont="1" applyFill="1" applyBorder="1" applyAlignment="1">
      <alignment horizontal="left" vertical="center" wrapText="1" indent="1"/>
    </xf>
    <xf numFmtId="0" fontId="12" fillId="2" borderId="10" xfId="1" applyFont="1" applyFill="1" applyBorder="1" applyAlignment="1">
      <alignment horizontal="left" vertical="center" wrapText="1" inden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11" fillId="4" borderId="5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vertical="center" wrapText="1"/>
    </xf>
    <xf numFmtId="0" fontId="11" fillId="4" borderId="3" xfId="1" applyFont="1" applyFill="1" applyBorder="1" applyAlignment="1">
      <alignment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vertical="center" wrapText="1"/>
    </xf>
    <xf numFmtId="0" fontId="2" fillId="3" borderId="3" xfId="1" applyFont="1" applyFill="1" applyBorder="1" applyAlignment="1">
      <alignment vertical="center" wrapText="1"/>
    </xf>
    <xf numFmtId="0" fontId="2" fillId="3" borderId="5" xfId="1" applyFont="1" applyFill="1" applyBorder="1" applyAlignment="1">
      <alignment vertical="center" wrapText="1"/>
    </xf>
    <xf numFmtId="4" fontId="13" fillId="2" borderId="4" xfId="1" applyNumberFormat="1" applyFont="1" applyFill="1" applyBorder="1" applyAlignment="1">
      <alignment horizontal="center" vertical="center"/>
    </xf>
    <xf numFmtId="4" fontId="13" fillId="2" borderId="3" xfId="1" applyNumberFormat="1" applyFont="1" applyFill="1" applyBorder="1" applyAlignment="1">
      <alignment horizontal="center" vertical="center"/>
    </xf>
    <xf numFmtId="4" fontId="13" fillId="2" borderId="5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right" wrapText="1"/>
    </xf>
    <xf numFmtId="0" fontId="2" fillId="2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0;&#1072;&#1089;&#1089;&#1086;&#1074;&#1099;&#1081;%20&#1087;&#1083;&#1072;&#1085;%2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72;&#1087;&#1082;&#1072;%20&#1086;&#1073;&#1084;&#1077;&#1085;&#1072;\1.&#1040;&#1083;&#1105;&#1085;&#1072;\&#1055;&#1077;&#1088;&#1077;&#1085;&#1086;&#1089;&#1099;%20&#1053;&#1086;&#1103;&#1073;&#1088;&#1100;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2;&#1077;&#1088;&#1086;&#1087;&#1088;&#1080;&#1103;&#1090;&#1080;&#1103;\&#1057;&#1084;&#1077;&#1090;&#1072;%20&#1084;&#1077;&#1088;&#1086;&#1087;&#1088;&#1080;&#1103;&#1090;&#1080;&#1081;%20%20&#1087;&#1086;%20&#1050;&#1062;%200870%20&#1085;&#1072;%20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bpm2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1%20&#1075;&#1086;&#1076;\12.%20&#1044;&#1077;&#1082;&#1072;&#1073;&#1088;&#1100;\&#1050;&#1086;&#1087;&#1080;&#1103;%202021%20&#1075;&#1086;&#107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60;&#1080;&#1085;%20&#1086;&#1090;&#1076;&#1077;&#1083;\&#1064;&#1045;&#1056;&#1071;&#1043;&#1048;&#1053;&#1054;&#1049;\&#1057;&#1077;&#1090;&#1100;\&#1059;&#1074;&#1077;&#1076;&#1086;&#1084;&#1083;&#1077;&#1085;&#1080;&#1077;%20774%20&#1085;&#1072;%202023-2025%20&#1075;&#107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774%20&#1085;&#1072;%2001.03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774%20&#1085;&#1072;%2001.03%20&#1087;&#1083;&#1072;&#1085;&#1086;&#1074;&#1099;&#1081;%20&#1087;&#1077;&#1088;&#1080;&#1086;&#1076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3.%20&#1052;&#1072;&#1088;&#1090;&#1086;&#1074;&#1089;&#1082;&#1072;&#1103;%20&#1089;&#1077;&#1089;&#1089;&#1080;&#1103;\&#1086;&#1090;%20&#1048;&#1085;&#1085;&#1099;\&#1087;&#1088;&#1086;&#1075;&#1088;&#1072;&#1084;&#1084;&#1072;%20&#1085;&#1072;%2001.0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5.%20&#1052;&#1072;&#1081;&#1089;&#1082;&#1072;&#1103;%20&#1089;&#1077;&#1089;&#1089;&#1080;&#1103;\&#1054;&#1090;%20&#1048;&#1085;&#1085;&#1099;%20&#1076;&#1083;&#1103;%20&#1087;&#1088;&#1086;&#1075;&#1088;&#1072;&#1084;&#1084;&#1099;\&#1054;&#1090;%20&#1048;&#1085;&#1085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11.%20&#1053;&#1086;&#1103;&#1073;&#1088;&#1100;&#1089;&#1082;&#1072;&#1103;%20&#1089;&#1077;&#1089;&#1089;&#1080;&#1103;\2022%20&#1091;&#1087;&#1088;%20&#1086;&#1073;&#1088;&#1072;&#107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15-10-2021_&#1086;&#1090;&#1095;&#1105;&#1090;%20&#1079;&#1072;%209%20&#1084;&#1077;&#1089;&#1103;&#1094;&#1077;&#1074;\&#1050;&#1086;&#1087;&#1080;&#1103;%20&#1054;&#1090;&#1095;&#1077;&#1090;%20&#1086;%20&#1093;&#1086;&#1076;&#1077;%20&#1088;&#1077;&#1072;&#1083;&#1080;&#1079;&#1072;&#1094;&#1080;&#1080;%20&#1084;&#1091;&#1085;&#1080;&#1094;&#1080;&#1087;&#1072;&#1083;&#1100;&#1085;&#1086;&#1081;%20&#1087;&#1088;&#1086;&#1075;&#1088;&#1072;&#1084;&#1084;&#1099;%20&#1079;&#1072;%209%20&#1084;&#1077;&#1089;&#1103;&#1094;&#1077;&#1074;%202020(&#1040;&#1074;&#1090;&#1086;&#1084;&#1072;&#1090;&#1080;&#1095;&#1077;&#1089;&#1082;&#1080;&#1042;&#1086;&#1089;&#1089;&#1090;&#1072;&#1085;&#1086;&#1074;&#1083;&#1077;&#1085;&#1086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12.%20&#1044;&#1077;&#1082;&#1072;&#1073;&#1088;&#1100;\&#1087;&#1088;&#1086;&#1075;&#1088;&#1072;&#1084;&#1084;&#1072;%20&#1085;&#1072;%20&#1082;&#1086;&#1085;&#1077;&#1094;%202022%20&#1075;&#1086;&#1076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5;&#1080;&#1090;&#1072;&#1085;&#1080;&#1077;%20&#1085;&#1072;&#1095;.&#1082;&#1083;&#1072;&#1089;&#1089;&#1099;\&#1057;&#1042;&#1054;&#1044;&#1088;&#1072;&#1089;&#1095;&#1105;&#1090;%20&#1087;&#1080;&#1090;&#1072;&#1085;&#1080;&#1077;%201-4%20&#1082;&#1083;.%202023%20&#1074;%20&#1054;&#1054;1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72;&#1087;&#1082;&#1072;%20&#1086;&#1073;&#1084;&#1077;&#1085;&#1072;\1.&#1040;&#1083;&#1105;&#1085;&#1072;\&#1051;&#1041;&#1054;%20&#1085;&#1072;%202022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6.%20&#1048;&#1102;&#1085;&#1100;&#1089;&#1082;&#1072;&#1103;%20&#1089;&#1077;&#1089;&#1089;&#1080;&#1103;\2022%20&#1082;%20&#1087;&#1088;&#1086;&#1075;&#1088;&#1072;&#1084;&#1084;&#107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9.%20&#1057;&#1077;&#1085;&#1090;&#1103;&#1073;&#1088;&#1100;&#1089;&#1082;&#1072;&#1103;%20&#1089;&#1077;&#1089;&#1089;&#1080;&#1103;\&#1088;&#1072;&#1079;&#1074;%20&#1086;&#1073;&#1088;%20&#1085;&#1072;%2001.10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&#1054;&#1090;&#1095;&#1077;&#1090;%20&#1079;&#1072;%209%20&#1084;&#1077;&#1089;&#1103;&#1094;&#1077;&#1074;\&#1040;&#1050;&#1040;&#1056;%20&#1080;%20&#1044;&#1045;&#1056;&#1040;&#1058;%20&#1087;&#1086;%200875%20&#1079;&#1072;%20202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2023-2025 местн"/>
      <sheetName val="2023"/>
      <sheetName val="2024"/>
      <sheetName val="2025"/>
      <sheetName val="Бюджет 2023-2025 МБ, ОБ, ФБ"/>
    </sheetNames>
    <sheetDataSet>
      <sheetData sheetId="0">
        <row r="9">
          <cell r="J9">
            <v>116129134.05</v>
          </cell>
          <cell r="R9">
            <v>116129134.05</v>
          </cell>
        </row>
        <row r="10">
          <cell r="Q10">
            <v>778350</v>
          </cell>
          <cell r="R10">
            <v>778350</v>
          </cell>
        </row>
        <row r="31">
          <cell r="J31">
            <v>206212</v>
          </cell>
        </row>
        <row r="41">
          <cell r="J41">
            <v>2100000</v>
          </cell>
        </row>
        <row r="46">
          <cell r="J46">
            <v>444702.1</v>
          </cell>
        </row>
        <row r="69">
          <cell r="J69">
            <v>14075277</v>
          </cell>
        </row>
        <row r="70">
          <cell r="J70">
            <v>4250733</v>
          </cell>
        </row>
        <row r="71">
          <cell r="J71">
            <v>222130</v>
          </cell>
        </row>
        <row r="72">
          <cell r="J72">
            <v>453078.36</v>
          </cell>
        </row>
        <row r="76">
          <cell r="J76">
            <v>361200</v>
          </cell>
          <cell r="Q76">
            <v>361200</v>
          </cell>
          <cell r="R76">
            <v>361200</v>
          </cell>
        </row>
      </sheetData>
      <sheetData sheetId="1"/>
      <sheetData sheetId="2"/>
      <sheetData sheetId="3"/>
      <sheetData sheetId="4">
        <row r="7">
          <cell r="J7">
            <v>19700000</v>
          </cell>
          <cell r="Q7">
            <v>20500000</v>
          </cell>
          <cell r="R7">
            <v>23200000</v>
          </cell>
        </row>
        <row r="8">
          <cell r="J8">
            <v>207451697.49000001</v>
          </cell>
          <cell r="Q8">
            <v>214805923</v>
          </cell>
          <cell r="R8">
            <v>219406733</v>
          </cell>
        </row>
        <row r="11">
          <cell r="J11">
            <v>1068773.6400000001</v>
          </cell>
        </row>
        <row r="14">
          <cell r="J14">
            <v>3886914</v>
          </cell>
        </row>
        <row r="22">
          <cell r="J22">
            <v>37100000</v>
          </cell>
          <cell r="Q22">
            <v>38600000</v>
          </cell>
          <cell r="R22">
            <v>43800000</v>
          </cell>
        </row>
        <row r="24">
          <cell r="J24">
            <v>400319266.50999999</v>
          </cell>
          <cell r="Q24">
            <v>414510706</v>
          </cell>
          <cell r="R24">
            <v>423388884</v>
          </cell>
        </row>
        <row r="25">
          <cell r="J25">
            <v>30405510</v>
          </cell>
          <cell r="Q25">
            <v>30783990</v>
          </cell>
          <cell r="R25">
            <v>30783990</v>
          </cell>
        </row>
        <row r="26">
          <cell r="J26">
            <v>150756372.58999997</v>
          </cell>
          <cell r="R26">
            <v>150756372.58999997</v>
          </cell>
        </row>
        <row r="27">
          <cell r="J27">
            <v>1100730</v>
          </cell>
        </row>
        <row r="29">
          <cell r="J29">
            <v>893788</v>
          </cell>
        </row>
        <row r="30">
          <cell r="J30">
            <v>893788</v>
          </cell>
        </row>
        <row r="32">
          <cell r="J32">
            <v>1630221</v>
          </cell>
        </row>
        <row r="49">
          <cell r="J49">
            <v>1913050.7700000033</v>
          </cell>
          <cell r="Q49">
            <v>1941573.200000003</v>
          </cell>
          <cell r="R49">
            <v>2437135.7300000042</v>
          </cell>
        </row>
        <row r="50">
          <cell r="J50">
            <v>71738046.689999998</v>
          </cell>
          <cell r="Q50">
            <v>74582183.434584364</v>
          </cell>
          <cell r="R50">
            <v>76316115.434584364</v>
          </cell>
        </row>
        <row r="51">
          <cell r="J51">
            <v>11133889.310000001</v>
          </cell>
          <cell r="Q51">
            <v>11227587.565415632</v>
          </cell>
          <cell r="R51">
            <v>11331567.565415632</v>
          </cell>
        </row>
        <row r="52">
          <cell r="J52">
            <v>21029566.759999998</v>
          </cell>
        </row>
        <row r="53">
          <cell r="J53">
            <v>57920</v>
          </cell>
        </row>
        <row r="54">
          <cell r="J54">
            <v>3280057.4299999997</v>
          </cell>
        </row>
        <row r="65">
          <cell r="J65">
            <v>4971604.92</v>
          </cell>
          <cell r="Q65">
            <v>5170475.4000000004</v>
          </cell>
          <cell r="R65">
            <v>5377303.2400000002</v>
          </cell>
        </row>
        <row r="73">
          <cell r="J73">
            <v>48276</v>
          </cell>
        </row>
        <row r="76">
          <cell r="J76">
            <v>639899.99962000002</v>
          </cell>
          <cell r="Q76">
            <v>638490.00124000001</v>
          </cell>
          <cell r="R76">
            <v>623370.00068000006</v>
          </cell>
        </row>
        <row r="77">
          <cell r="J77">
            <v>8545600</v>
          </cell>
          <cell r="Q77">
            <v>8653080</v>
          </cell>
          <cell r="R77">
            <v>9990560</v>
          </cell>
        </row>
        <row r="86">
          <cell r="J86">
            <v>2000000</v>
          </cell>
          <cell r="Q86">
            <v>2100000</v>
          </cell>
          <cell r="R86">
            <v>2200000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носы"/>
      <sheetName val="ИЦ"/>
      <sheetName val="МЗ"/>
    </sheetNames>
    <sheetDataSet>
      <sheetData sheetId="0">
        <row r="21">
          <cell r="O21">
            <v>-336468.01</v>
          </cell>
        </row>
      </sheetData>
      <sheetData sheetId="1">
        <row r="10">
          <cell r="G10">
            <v>-429.71</v>
          </cell>
        </row>
        <row r="19">
          <cell r="F19">
            <v>-5987.06</v>
          </cell>
        </row>
      </sheetData>
      <sheetData sheetId="2">
        <row r="21">
          <cell r="H21">
            <v>1262120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 расходов ДЮСШ"/>
      <sheetName val="Лист2"/>
      <sheetName val="Лист3"/>
    </sheetNames>
    <sheetDataSet>
      <sheetData sheetId="0">
        <row r="9">
          <cell r="F9">
            <v>60000</v>
          </cell>
        </row>
        <row r="11">
          <cell r="E11">
            <v>100000</v>
          </cell>
        </row>
        <row r="13">
          <cell r="E13">
            <v>162000</v>
          </cell>
        </row>
        <row r="24">
          <cell r="F24">
            <v>100000</v>
          </cell>
        </row>
        <row r="26">
          <cell r="C26">
            <v>500000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9"/>
    </sheetNames>
    <sheetDataSet>
      <sheetData sheetId="0">
        <row r="101">
          <cell r="R101">
            <v>1063557868.36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вед об измен (расх)"/>
    </sheetNames>
    <sheetDataSet>
      <sheetData sheetId="0">
        <row r="20">
          <cell r="Z20">
            <v>200000</v>
          </cell>
          <cell r="AA20">
            <v>200000</v>
          </cell>
          <cell r="AB20">
            <v>200000</v>
          </cell>
        </row>
        <row r="74">
          <cell r="Z74">
            <v>61920</v>
          </cell>
          <cell r="AA74">
            <v>61920</v>
          </cell>
          <cell r="AB74">
            <v>61920</v>
          </cell>
        </row>
        <row r="78">
          <cell r="Z78">
            <v>1167580939.98</v>
          </cell>
          <cell r="AA78">
            <v>1161314768.28</v>
          </cell>
          <cell r="AB78">
            <v>1189133418.9300001</v>
          </cell>
        </row>
        <row r="79">
          <cell r="Z79">
            <v>2000000</v>
          </cell>
          <cell r="AA79">
            <v>2100000</v>
          </cell>
          <cell r="AB79">
            <v>2200000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3"/>
    </sheetNames>
    <sheetDataSet>
      <sheetData sheetId="0">
        <row r="21">
          <cell r="AG21">
            <v>-1229.2799999997951</v>
          </cell>
        </row>
        <row r="117">
          <cell r="R117">
            <v>1218607999.23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Б на план. период_1"/>
    </sheetNames>
    <sheetDataSet>
      <sheetData sheetId="0">
        <row r="13">
          <cell r="T13">
            <v>1882782.09</v>
          </cell>
        </row>
        <row r="77">
          <cell r="T77">
            <v>1158031957.79</v>
          </cell>
          <cell r="U77">
            <v>1186691404.8699999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Б на план. период_1"/>
    </sheetNames>
    <sheetDataSet>
      <sheetData sheetId="0">
        <row r="13">
          <cell r="V13">
            <v>1441692.39</v>
          </cell>
        </row>
        <row r="16">
          <cell r="V16">
            <v>15031360</v>
          </cell>
        </row>
        <row r="22">
          <cell r="T22">
            <v>210060697.49000001</v>
          </cell>
        </row>
        <row r="34">
          <cell r="V34">
            <v>28376960</v>
          </cell>
        </row>
        <row r="35">
          <cell r="T35">
            <v>150456372.59</v>
          </cell>
        </row>
        <row r="66">
          <cell r="V66">
            <v>1545280</v>
          </cell>
        </row>
        <row r="104">
          <cell r="T104">
            <v>1217416999.23</v>
          </cell>
          <cell r="U104">
            <v>1158031957.79</v>
          </cell>
          <cell r="V104">
            <v>1167031291.9100001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Б на план. период"/>
    </sheetNames>
    <sheetDataSet>
      <sheetData sheetId="0">
        <row r="105">
          <cell r="T105">
            <v>1239219726.55</v>
          </cell>
          <cell r="U105">
            <v>1158031957.79</v>
          </cell>
          <cell r="V105">
            <v>1167031291.9100001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8"/>
    </sheetNames>
    <sheetDataSet>
      <sheetData sheetId="0">
        <row r="16">
          <cell r="R16">
            <v>2774985</v>
          </cell>
        </row>
        <row r="19">
          <cell r="R19">
            <v>21497572.75</v>
          </cell>
        </row>
        <row r="34">
          <cell r="R34">
            <v>39782767.390000001</v>
          </cell>
        </row>
        <row r="74">
          <cell r="R74">
            <v>2267245.86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мес 2021"/>
    </sheetNames>
    <sheetDataSet>
      <sheetData sheetId="0">
        <row r="25">
          <cell r="H25">
            <v>8816768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3"/>
    </sheetNames>
    <sheetDataSet>
      <sheetData sheetId="0">
        <row r="48">
          <cell r="AH48">
            <v>7405372.8799999999</v>
          </cell>
        </row>
        <row r="98">
          <cell r="AI98">
            <v>4524.1400000000003</v>
          </cell>
        </row>
        <row r="100">
          <cell r="AH100">
            <v>96549.6</v>
          </cell>
          <cell r="AI100">
            <v>48275.860000000015</v>
          </cell>
        </row>
        <row r="112">
          <cell r="AG112">
            <v>14846650.890000001</v>
          </cell>
          <cell r="AH112">
            <v>1649639.27</v>
          </cell>
        </row>
        <row r="116">
          <cell r="R116">
            <v>1249365484.9300001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.2023 по 31.05.2023"/>
      <sheetName val="01.09.2023 по 31.12.2023"/>
      <sheetName val="Лист1"/>
    </sheetNames>
    <sheetDataSet>
      <sheetData sheetId="0" refreshError="1"/>
      <sheetData sheetId="1">
        <row r="29">
          <cell r="Z29">
            <v>16082362.041902091</v>
          </cell>
          <cell r="AA29">
            <v>1788936.6801879103</v>
          </cell>
          <cell r="AB29">
            <v>17889.187910000001</v>
          </cell>
          <cell r="AN29">
            <v>16645.44701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сверки (2)"/>
      <sheetName val="иные 2022 первонач"/>
      <sheetName val="мун.зад.2022 первонач"/>
      <sheetName val="иные 27.01.22"/>
      <sheetName val="иные 03.02.22"/>
      <sheetName val="иные 14.02.2022"/>
      <sheetName val="иные 22.02.2022"/>
      <sheetName val="иные 05.03.2022"/>
      <sheetName val="иные 15.03.2022"/>
      <sheetName val="мун.зад.17-31.03.2022"/>
      <sheetName val="иные 21.03.2022"/>
      <sheetName val="иные 28-31.03.2022"/>
      <sheetName val="иные 05.04.2022"/>
      <sheetName val="иные 14.04.2022"/>
      <sheetName val="иные 18.04.2022"/>
      <sheetName val="мун.зад.18.04.2022"/>
      <sheetName val="иные 25.04.2022"/>
      <sheetName val="иные 04.05.2022"/>
      <sheetName val="иные 11.05.2022"/>
      <sheetName val="иные 19.05.2022"/>
      <sheetName val="иные 23.05.2022"/>
      <sheetName val="иные 31.05.2022"/>
      <sheetName val="иные 06.06.2022"/>
      <sheetName val="иные 10.06.2022"/>
      <sheetName val="иные 27.06.2022"/>
      <sheetName val="иные 28.06.2022"/>
      <sheetName val="иные 01.08.2022"/>
      <sheetName val="иные 19.08.2022"/>
      <sheetName val="иные 29.08.2022"/>
      <sheetName val="иные 14.09.2022"/>
      <sheetName val="иные 21.09.2022"/>
      <sheetName val="иные 26.09.2022 "/>
      <sheetName val="мун.зад.26.09.2022"/>
      <sheetName val="иные 14.10.2022"/>
      <sheetName val="мун.зад.14.10.2022"/>
      <sheetName val="мун.зад.21.10.2022"/>
      <sheetName val="иные 25.10.2022"/>
      <sheetName val="иные 31.10.2022"/>
      <sheetName val="иные 03.11.2022"/>
      <sheetName val="иные 08.11.2022"/>
      <sheetName val="мун.зад.10.11.2022"/>
      <sheetName val="иные 10.11.2022"/>
      <sheetName val="иные 25.11.2022"/>
      <sheetName val="иные 30.11.2022"/>
      <sheetName val="иные 08.12.2022"/>
      <sheetName val="иные 09.12.2022"/>
      <sheetName val="мун.зад.12.12.2022"/>
      <sheetName val="иные 12.12.2022"/>
      <sheetName val="иные 19.12.2022"/>
      <sheetName val="иные 20.12.2022"/>
      <sheetName val="иные 22.12.2022"/>
      <sheetName val="иные 26.12.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8">
          <cell r="BQ8">
            <v>550308.69999999995</v>
          </cell>
        </row>
      </sheetData>
      <sheetData sheetId="32"/>
      <sheetData sheetId="33"/>
      <sheetData sheetId="34"/>
      <sheetData sheetId="35"/>
      <sheetData sheetId="36"/>
      <sheetData sheetId="37"/>
      <sheetData sheetId="38">
        <row r="12">
          <cell r="N12">
            <v>525000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1">
          <cell r="AG11">
            <v>978810.2</v>
          </cell>
        </row>
        <row r="22">
          <cell r="M22">
            <v>642065</v>
          </cell>
          <cell r="N22">
            <v>1684091.15</v>
          </cell>
          <cell r="AM22">
            <v>500000</v>
          </cell>
          <cell r="AN22">
            <v>1232741</v>
          </cell>
          <cell r="AW22">
            <v>2082996.42</v>
          </cell>
          <cell r="AX22">
            <v>861259</v>
          </cell>
          <cell r="BC22">
            <v>2229000</v>
          </cell>
          <cell r="BQ22">
            <v>550308.69999999995</v>
          </cell>
          <cell r="BR22">
            <v>102969.74</v>
          </cell>
          <cell r="BV22">
            <v>181777.27</v>
          </cell>
          <cell r="BX22">
            <v>300000</v>
          </cell>
        </row>
      </sheetData>
      <sheetData sheetId="51">
        <row r="11">
          <cell r="BO11">
            <v>4405372.88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2"/>
    </sheetNames>
    <sheetDataSet>
      <sheetData sheetId="0">
        <row r="18">
          <cell r="AG18">
            <v>810000</v>
          </cell>
        </row>
        <row r="52">
          <cell r="R52">
            <v>750000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2"/>
    </sheetNames>
    <sheetDataSet>
      <sheetData sheetId="0" refreshError="1">
        <row r="29">
          <cell r="Y29">
            <v>31000</v>
          </cell>
        </row>
        <row r="46">
          <cell r="Y46">
            <v>1737958.8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од"/>
    </sheetNames>
    <sheetDataSet>
      <sheetData sheetId="0" refreshError="1">
        <row r="8">
          <cell r="F8">
            <v>2039.8099999999995</v>
          </cell>
        </row>
        <row r="15">
          <cell r="D15">
            <v>28230</v>
          </cell>
        </row>
        <row r="19">
          <cell r="D19">
            <v>31772.75</v>
          </cell>
          <cell r="E19">
            <v>22739</v>
          </cell>
        </row>
        <row r="20">
          <cell r="C20">
            <v>279312.93</v>
          </cell>
          <cell r="F20">
            <v>27945.32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18"/>
  <sheetViews>
    <sheetView view="pageBreakPreview" zoomScale="80" zoomScaleNormal="100" zoomScaleSheetLayoutView="80" workbookViewId="0">
      <pane xSplit="7" ySplit="8" topLeftCell="H179" activePane="bottomRight" state="frozen"/>
      <selection pane="topRight" activeCell="G1" sqref="G1"/>
      <selection pane="bottomLeft" activeCell="A8" sqref="A8"/>
      <selection pane="bottomRight" activeCell="K88" sqref="K88"/>
    </sheetView>
  </sheetViews>
  <sheetFormatPr defaultRowHeight="16.5" outlineLevelRow="1" outlineLevelCol="1" x14ac:dyDescent="0.25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 x14ac:dyDescent="0.25">
      <c r="A1" s="1"/>
      <c r="K1" s="142" t="s">
        <v>131</v>
      </c>
      <c r="L1" s="142"/>
      <c r="M1" s="142"/>
      <c r="N1" s="142"/>
      <c r="O1" s="3"/>
      <c r="P1" s="3"/>
      <c r="Q1" s="3"/>
    </row>
    <row r="2" spans="1:17" x14ac:dyDescent="0.25">
      <c r="A2" s="1"/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8"/>
      <c r="M2" s="18"/>
      <c r="N2" s="24" t="s">
        <v>152</v>
      </c>
      <c r="O2" s="3"/>
    </row>
    <row r="3" spans="1:17" x14ac:dyDescent="0.25">
      <c r="A3" s="1"/>
      <c r="B3" s="143" t="s">
        <v>1</v>
      </c>
      <c r="C3" s="143"/>
      <c r="D3" s="143"/>
      <c r="E3" s="143"/>
      <c r="F3" s="143"/>
      <c r="G3" s="143"/>
      <c r="H3" s="143"/>
      <c r="I3" s="143"/>
      <c r="J3" s="143"/>
      <c r="K3" s="143"/>
      <c r="L3" s="19"/>
      <c r="M3" s="19"/>
      <c r="N3" s="24" t="s">
        <v>135</v>
      </c>
    </row>
    <row r="4" spans="1:17" ht="15.75" customHeight="1" x14ac:dyDescent="0.25">
      <c r="A4" s="1"/>
      <c r="B4" s="143" t="s">
        <v>134</v>
      </c>
      <c r="C4" s="143"/>
      <c r="D4" s="143"/>
      <c r="E4" s="143"/>
      <c r="F4" s="143"/>
      <c r="G4" s="143"/>
      <c r="H4" s="143"/>
      <c r="I4" s="143"/>
      <c r="J4" s="143"/>
      <c r="K4" s="143"/>
      <c r="L4" s="20"/>
      <c r="M4" s="20"/>
      <c r="N4" s="25"/>
    </row>
    <row r="5" spans="1:17" x14ac:dyDescent="0.25">
      <c r="A5" s="1"/>
      <c r="H5" s="30"/>
      <c r="I5" s="33">
        <f t="shared" ref="I5:J5" si="0">I20+I40+I44+I48+I52+I96+I104+I116</f>
        <v>628554600</v>
      </c>
      <c r="J5" s="33">
        <f t="shared" si="0"/>
        <v>651853900</v>
      </c>
      <c r="K5" s="33">
        <f>K20+K40+K44+K48+K52+K96+K104+K116</f>
        <v>690642900</v>
      </c>
      <c r="L5" s="33">
        <f t="shared" ref="L5:M5" si="1">L20+L40+L44+L48+L52+L96+L104+L116</f>
        <v>715126400</v>
      </c>
      <c r="M5" s="33">
        <f t="shared" si="1"/>
        <v>730443300</v>
      </c>
      <c r="N5" s="47" t="s">
        <v>117</v>
      </c>
    </row>
    <row r="6" spans="1:17" x14ac:dyDescent="0.25">
      <c r="A6" s="1"/>
      <c r="H6" s="30"/>
      <c r="I6" s="33"/>
      <c r="J6" s="46">
        <f>J28+J88+J124-2040.87</f>
        <v>66322571</v>
      </c>
      <c r="K6" s="46">
        <f>K28+K88+K124-1300.84</f>
        <v>60713050.770000003</v>
      </c>
      <c r="L6" s="46">
        <f>L28+L88+L124</f>
        <v>63141573.200000003</v>
      </c>
      <c r="M6" s="46">
        <f>M28+M88+M124</f>
        <v>71637135.730000004</v>
      </c>
      <c r="N6" s="47" t="s">
        <v>118</v>
      </c>
    </row>
    <row r="7" spans="1:17" s="28" customFormat="1" ht="21.75" customHeight="1" x14ac:dyDescent="0.25">
      <c r="A7" s="144" t="s">
        <v>2</v>
      </c>
      <c r="B7" s="144" t="s">
        <v>3</v>
      </c>
      <c r="C7" s="144" t="s">
        <v>4</v>
      </c>
      <c r="D7" s="144" t="s">
        <v>5</v>
      </c>
      <c r="E7" s="144" t="s">
        <v>6</v>
      </c>
      <c r="F7" s="144" t="s">
        <v>7</v>
      </c>
      <c r="G7" s="150" t="s">
        <v>8</v>
      </c>
      <c r="H7" s="151"/>
      <c r="I7" s="151"/>
      <c r="J7" s="151"/>
      <c r="K7" s="151"/>
      <c r="L7" s="151"/>
      <c r="M7" s="152"/>
      <c r="N7" s="144" t="s">
        <v>9</v>
      </c>
    </row>
    <row r="8" spans="1:17" s="28" customFormat="1" ht="21.75" customHeight="1" x14ac:dyDescent="0.25">
      <c r="A8" s="145"/>
      <c r="B8" s="145"/>
      <c r="C8" s="145"/>
      <c r="D8" s="145"/>
      <c r="E8" s="145"/>
      <c r="F8" s="145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145"/>
    </row>
    <row r="9" spans="1:17" s="13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 x14ac:dyDescent="0.25">
      <c r="A10" s="153"/>
      <c r="B10" s="156" t="s">
        <v>146</v>
      </c>
      <c r="C10" s="159" t="s">
        <v>11</v>
      </c>
      <c r="D10" s="162" t="s">
        <v>12</v>
      </c>
      <c r="E10" s="159" t="s">
        <v>153</v>
      </c>
      <c r="F10" s="34" t="s">
        <v>14</v>
      </c>
      <c r="G10" s="35">
        <f t="shared" ref="G10:M10" si="2">G11+G12+G13</f>
        <v>5216616231.2973099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1111477561.98962</v>
      </c>
      <c r="L10" s="35">
        <f>L11+L12+L13</f>
        <v>1131144088.4112399</v>
      </c>
      <c r="M10" s="35">
        <f t="shared" si="2"/>
        <v>1158093549.20769</v>
      </c>
      <c r="N10" s="165"/>
      <c r="O10" s="3"/>
    </row>
    <row r="11" spans="1:17" ht="30.75" customHeight="1" x14ac:dyDescent="0.25">
      <c r="A11" s="154"/>
      <c r="B11" s="157"/>
      <c r="C11" s="160"/>
      <c r="D11" s="163"/>
      <c r="E11" s="160"/>
      <c r="F11" s="34" t="s">
        <v>133</v>
      </c>
      <c r="G11" s="35">
        <f>H11+I11+J11+K11+M11</f>
        <v>1348277027.6949201</v>
      </c>
      <c r="H11" s="36">
        <f t="shared" ref="H11:M13" si="3">H15+H35+H99+H127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302125413.65790999</v>
      </c>
      <c r="L11" s="36">
        <f t="shared" si="3"/>
        <v>294964463.31999999</v>
      </c>
      <c r="M11" s="36">
        <f t="shared" si="3"/>
        <v>297453803.91700995</v>
      </c>
      <c r="N11" s="166"/>
      <c r="O11" s="3"/>
    </row>
    <row r="12" spans="1:17" ht="30.75" customHeight="1" x14ac:dyDescent="0.25">
      <c r="A12" s="154"/>
      <c r="B12" s="157"/>
      <c r="C12" s="160"/>
      <c r="D12" s="163"/>
      <c r="E12" s="160"/>
      <c r="F12" s="34" t="s">
        <v>16</v>
      </c>
      <c r="G12" s="35">
        <f>H12+I12+J12+K12+M12</f>
        <v>3667838050.4504876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762864276.28980792</v>
      </c>
      <c r="L12" s="36">
        <f t="shared" si="3"/>
        <v>789824230.99124002</v>
      </c>
      <c r="M12" s="36">
        <f t="shared" si="3"/>
        <v>814891515.07068002</v>
      </c>
      <c r="N12" s="166"/>
      <c r="O12" s="3"/>
    </row>
    <row r="13" spans="1:17" ht="30.75" customHeight="1" x14ac:dyDescent="0.25">
      <c r="A13" s="155"/>
      <c r="B13" s="158"/>
      <c r="C13" s="161"/>
      <c r="D13" s="164"/>
      <c r="E13" s="161"/>
      <c r="F13" s="34" t="s">
        <v>17</v>
      </c>
      <c r="G13" s="35">
        <f>H13+I13+J13+K13+M13</f>
        <v>200501153.15190211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46487872.041902095</v>
      </c>
      <c r="L13" s="36">
        <f t="shared" si="3"/>
        <v>46355394.100000001</v>
      </c>
      <c r="M13" s="36">
        <f t="shared" si="3"/>
        <v>45748230.219999999</v>
      </c>
      <c r="N13" s="167"/>
      <c r="O13" s="3"/>
    </row>
    <row r="14" spans="1:17" ht="21.75" customHeight="1" x14ac:dyDescent="0.25">
      <c r="A14" s="168"/>
      <c r="B14" s="170" t="s">
        <v>19</v>
      </c>
      <c r="C14" s="172" t="s">
        <v>11</v>
      </c>
      <c r="D14" s="174" t="s">
        <v>12</v>
      </c>
      <c r="E14" s="172" t="s">
        <v>153</v>
      </c>
      <c r="F14" s="37" t="s">
        <v>14</v>
      </c>
      <c r="G14" s="38">
        <f t="shared" ref="G14:M14" si="4">G15+G16+G17</f>
        <v>1677051193.77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352604781.54000002</v>
      </c>
      <c r="L14" s="38">
        <f>L15+L16+L17</f>
        <v>359866487.05000001</v>
      </c>
      <c r="M14" s="38">
        <f t="shared" si="4"/>
        <v>369504777.05000001</v>
      </c>
      <c r="N14" s="146" t="s">
        <v>20</v>
      </c>
      <c r="O14" s="3"/>
    </row>
    <row r="15" spans="1:17" ht="21.75" customHeight="1" x14ac:dyDescent="0.25">
      <c r="A15" s="169"/>
      <c r="B15" s="171"/>
      <c r="C15" s="173"/>
      <c r="D15" s="175"/>
      <c r="E15" s="173"/>
      <c r="F15" s="37" t="s">
        <v>133</v>
      </c>
      <c r="G15" s="38">
        <f>H15+I15+J15+K15+M15</f>
        <v>536168214.35000002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116907484.05</v>
      </c>
      <c r="L15" s="39">
        <f>L19+L23+L27+L31</f>
        <v>115907484.05</v>
      </c>
      <c r="M15" s="39">
        <f t="shared" si="5"/>
        <v>116907484.05</v>
      </c>
      <c r="N15" s="147"/>
      <c r="O15" s="3"/>
    </row>
    <row r="16" spans="1:17" ht="21.75" customHeight="1" x14ac:dyDescent="0.25">
      <c r="A16" s="169"/>
      <c r="B16" s="171"/>
      <c r="C16" s="173"/>
      <c r="D16" s="175"/>
      <c r="E16" s="173"/>
      <c r="F16" s="37" t="s">
        <v>16</v>
      </c>
      <c r="G16" s="38">
        <f>H16+I16+J16+K16+M16</f>
        <v>1140882979.4200001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235697297.49000001</v>
      </c>
      <c r="L16" s="39">
        <f>L20+L24+L28+L32</f>
        <v>243959003</v>
      </c>
      <c r="M16" s="39">
        <f t="shared" si="5"/>
        <v>252597293</v>
      </c>
      <c r="N16" s="147"/>
      <c r="O16" s="3"/>
    </row>
    <row r="17" spans="1:18" ht="21.75" customHeight="1" x14ac:dyDescent="0.25">
      <c r="A17" s="169"/>
      <c r="B17" s="171"/>
      <c r="C17" s="173"/>
      <c r="D17" s="176"/>
      <c r="E17" s="173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47"/>
      <c r="O17" s="3"/>
    </row>
    <row r="18" spans="1:18" ht="21.75" customHeight="1" x14ac:dyDescent="0.25">
      <c r="A18" s="149" t="s">
        <v>18</v>
      </c>
      <c r="B18" s="121" t="s">
        <v>21</v>
      </c>
      <c r="C18" s="115" t="s">
        <v>11</v>
      </c>
      <c r="D18" s="118" t="s">
        <v>12</v>
      </c>
      <c r="E18" s="115" t="s">
        <v>153</v>
      </c>
      <c r="F18" s="12" t="s">
        <v>14</v>
      </c>
      <c r="G18" s="22">
        <f t="shared" ref="G18:M18" si="6">G19+G20+G21</f>
        <v>1519822756.1000001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323580831.54000002</v>
      </c>
      <c r="L18" s="22">
        <f>L19+L20+L21</f>
        <v>329935057.05000001</v>
      </c>
      <c r="M18" s="22">
        <f t="shared" si="6"/>
        <v>335535867.05000001</v>
      </c>
      <c r="N18" s="147"/>
      <c r="O18" s="3"/>
    </row>
    <row r="19" spans="1:18" ht="21.75" customHeight="1" x14ac:dyDescent="0.25">
      <c r="A19" s="110"/>
      <c r="B19" s="122"/>
      <c r="C19" s="116"/>
      <c r="D19" s="119"/>
      <c r="E19" s="116"/>
      <c r="F19" s="12" t="s">
        <v>133</v>
      </c>
      <c r="G19" s="22">
        <f>H19+I19+J19+K19+M19</f>
        <v>532256284.19000006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'[1]Бюджет 2023-2025 местн'!$J$9</f>
        <v>116129134.05</v>
      </c>
      <c r="L19" s="22">
        <v>115129134.05</v>
      </c>
      <c r="M19" s="22">
        <f>'[1]Бюджет 2023-2025 местн'!$R$9</f>
        <v>116129134.05</v>
      </c>
      <c r="N19" s="147"/>
      <c r="O19" s="3"/>
    </row>
    <row r="20" spans="1:18" ht="21.75" customHeight="1" x14ac:dyDescent="0.25">
      <c r="A20" s="110"/>
      <c r="B20" s="122"/>
      <c r="C20" s="116"/>
      <c r="D20" s="119"/>
      <c r="E20" s="116"/>
      <c r="F20" s="12" t="s">
        <v>16</v>
      </c>
      <c r="G20" s="22">
        <f>H20+I20+J20+K20+M20</f>
        <v>987566471.91000009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'[1]Бюджет 2023-2025 МБ, ОБ, ФБ'!$J$8</f>
        <v>207451697.49000001</v>
      </c>
      <c r="L20" s="22">
        <f>'[1]Бюджет 2023-2025 МБ, ОБ, ФБ'!$Q$8</f>
        <v>214805923</v>
      </c>
      <c r="M20" s="22">
        <f>'[1]Бюджет 2023-2025 МБ, ОБ, ФБ'!$R$8</f>
        <v>219406733</v>
      </c>
      <c r="N20" s="147"/>
      <c r="O20" s="3"/>
    </row>
    <row r="21" spans="1:18" ht="21.75" customHeight="1" x14ac:dyDescent="0.25">
      <c r="A21" s="110"/>
      <c r="B21" s="122"/>
      <c r="C21" s="116"/>
      <c r="D21" s="120"/>
      <c r="E21" s="116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47"/>
      <c r="O21" s="3"/>
    </row>
    <row r="22" spans="1:18" ht="21.75" customHeight="1" x14ac:dyDescent="0.25">
      <c r="A22" s="109" t="s">
        <v>128</v>
      </c>
      <c r="B22" s="121" t="s">
        <v>22</v>
      </c>
      <c r="C22" s="115" t="s">
        <v>11</v>
      </c>
      <c r="D22" s="118" t="s">
        <v>12</v>
      </c>
      <c r="E22" s="115" t="s">
        <v>153</v>
      </c>
      <c r="F22" s="12" t="s">
        <v>14</v>
      </c>
      <c r="G22" s="22">
        <f t="shared" ref="G22:M22" si="7">G23+G24+G25</f>
        <v>3911930.16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778350</v>
      </c>
      <c r="L22" s="22">
        <f>L23+L24+L25</f>
        <v>778350</v>
      </c>
      <c r="M22" s="22">
        <f t="shared" si="7"/>
        <v>778350</v>
      </c>
      <c r="N22" s="147"/>
      <c r="O22" s="3"/>
    </row>
    <row r="23" spans="1:18" ht="21.75" customHeight="1" x14ac:dyDescent="0.25">
      <c r="A23" s="110"/>
      <c r="B23" s="122"/>
      <c r="C23" s="116"/>
      <c r="D23" s="119"/>
      <c r="E23" s="116"/>
      <c r="F23" s="12" t="s">
        <v>133</v>
      </c>
      <c r="G23" s="22">
        <f>H23+I23+J23+K23+M23</f>
        <v>3911930.16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f>'[1]Бюджет 2023-2025 местн'!$Q$10</f>
        <v>778350</v>
      </c>
      <c r="L23" s="22">
        <f>'[1]Бюджет 2023-2025 местн'!$Q$10</f>
        <v>778350</v>
      </c>
      <c r="M23" s="22">
        <f>'[1]Бюджет 2023-2025 местн'!$R$10</f>
        <v>778350</v>
      </c>
      <c r="N23" s="147"/>
      <c r="O23" s="3"/>
      <c r="R23" s="3"/>
    </row>
    <row r="24" spans="1:18" ht="21.75" customHeight="1" x14ac:dyDescent="0.25">
      <c r="A24" s="110"/>
      <c r="B24" s="122"/>
      <c r="C24" s="116"/>
      <c r="D24" s="119"/>
      <c r="E24" s="116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47"/>
      <c r="O24" s="3"/>
    </row>
    <row r="25" spans="1:18" ht="21.75" customHeight="1" x14ac:dyDescent="0.25">
      <c r="A25" s="111"/>
      <c r="B25" s="123"/>
      <c r="C25" s="116"/>
      <c r="D25" s="120"/>
      <c r="E25" s="117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47"/>
      <c r="O25" s="3"/>
    </row>
    <row r="26" spans="1:18" ht="21.75" customHeight="1" x14ac:dyDescent="0.25">
      <c r="A26" s="109" t="s">
        <v>144</v>
      </c>
      <c r="B26" s="121" t="s">
        <v>23</v>
      </c>
      <c r="C26" s="115" t="s">
        <v>11</v>
      </c>
      <c r="D26" s="118" t="s">
        <v>12</v>
      </c>
      <c r="E26" s="115" t="s">
        <v>153</v>
      </c>
      <c r="F26" s="12" t="s">
        <v>14</v>
      </c>
      <c r="G26" s="22">
        <f t="shared" ref="G26:M26" si="8">G27+G28+G29</f>
        <v>102794493.59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19700000</v>
      </c>
      <c r="L26" s="22">
        <f>L27+L28+L29</f>
        <v>20500000</v>
      </c>
      <c r="M26" s="22">
        <f t="shared" si="8"/>
        <v>23200000</v>
      </c>
      <c r="N26" s="147"/>
      <c r="O26" s="3"/>
    </row>
    <row r="27" spans="1:18" ht="21.75" customHeight="1" x14ac:dyDescent="0.25">
      <c r="A27" s="110"/>
      <c r="B27" s="122"/>
      <c r="C27" s="116"/>
      <c r="D27" s="119"/>
      <c r="E27" s="116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47"/>
      <c r="O27" s="3"/>
    </row>
    <row r="28" spans="1:18" ht="21.75" customHeight="1" x14ac:dyDescent="0.25">
      <c r="A28" s="110"/>
      <c r="B28" s="122"/>
      <c r="C28" s="116"/>
      <c r="D28" s="119"/>
      <c r="E28" s="116"/>
      <c r="F28" s="12" t="s">
        <v>16</v>
      </c>
      <c r="G28" s="22">
        <f>H28+I28+J28+K28+M28</f>
        <v>102794493.59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f>'[1]Бюджет 2023-2025 МБ, ОБ, ФБ'!$J$7</f>
        <v>19700000</v>
      </c>
      <c r="L28" s="22">
        <f>'[1]Бюджет 2023-2025 МБ, ОБ, ФБ'!$Q$7</f>
        <v>20500000</v>
      </c>
      <c r="M28" s="22">
        <f>'[1]Бюджет 2023-2025 МБ, ОБ, ФБ'!$R$7</f>
        <v>23200000</v>
      </c>
      <c r="N28" s="147"/>
      <c r="O28" s="3"/>
    </row>
    <row r="29" spans="1:18" ht="21.75" customHeight="1" x14ac:dyDescent="0.25">
      <c r="A29" s="111"/>
      <c r="B29" s="123"/>
      <c r="C29" s="116"/>
      <c r="D29" s="120"/>
      <c r="E29" s="117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47"/>
      <c r="P29" s="3"/>
    </row>
    <row r="30" spans="1:18" ht="21.75" customHeight="1" x14ac:dyDescent="0.25">
      <c r="A30" s="109" t="s">
        <v>145</v>
      </c>
      <c r="B30" s="121" t="s">
        <v>24</v>
      </c>
      <c r="C30" s="115" t="s">
        <v>11</v>
      </c>
      <c r="D30" s="118" t="s">
        <v>12</v>
      </c>
      <c r="E30" s="115" t="s">
        <v>153</v>
      </c>
      <c r="F30" s="12" t="s">
        <v>14</v>
      </c>
      <c r="G30" s="22">
        <f t="shared" ref="G30:M30" si="9">G31+G32+G33</f>
        <v>50522013.920000002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8545600</v>
      </c>
      <c r="L30" s="22">
        <f>L31+L32+L33</f>
        <v>8653080</v>
      </c>
      <c r="M30" s="22">
        <f t="shared" si="9"/>
        <v>9990560</v>
      </c>
      <c r="N30" s="147"/>
      <c r="O30" s="3"/>
    </row>
    <row r="31" spans="1:18" ht="21.75" customHeight="1" x14ac:dyDescent="0.25">
      <c r="A31" s="110"/>
      <c r="B31" s="122"/>
      <c r="C31" s="116"/>
      <c r="D31" s="119"/>
      <c r="E31" s="116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47"/>
    </row>
    <row r="32" spans="1:18" ht="21.75" customHeight="1" x14ac:dyDescent="0.25">
      <c r="A32" s="110"/>
      <c r="B32" s="122"/>
      <c r="C32" s="116"/>
      <c r="D32" s="119"/>
      <c r="E32" s="116"/>
      <c r="F32" s="12" t="s">
        <v>16</v>
      </c>
      <c r="G32" s="22">
        <f>H32+I32+J32+K32+M32</f>
        <v>50522013.920000002</v>
      </c>
      <c r="H32" s="22">
        <v>9450400</v>
      </c>
      <c r="I32" s="22">
        <v>9868564</v>
      </c>
      <c r="J32" s="48">
        <v>12666889.92</v>
      </c>
      <c r="K32" s="22">
        <f>'[1]Бюджет 2023-2025 МБ, ОБ, ФБ'!$J$77</f>
        <v>8545600</v>
      </c>
      <c r="L32" s="22">
        <f>'[1]Бюджет 2023-2025 МБ, ОБ, ФБ'!$Q$77</f>
        <v>8653080</v>
      </c>
      <c r="M32" s="22">
        <f>'[1]Бюджет 2023-2025 МБ, ОБ, ФБ'!$R$77</f>
        <v>9990560</v>
      </c>
      <c r="N32" s="147"/>
    </row>
    <row r="33" spans="1:41" ht="21.75" customHeight="1" x14ac:dyDescent="0.25">
      <c r="A33" s="111"/>
      <c r="B33" s="123"/>
      <c r="C33" s="116"/>
      <c r="D33" s="120"/>
      <c r="E33" s="117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48"/>
      <c r="P33" s="3"/>
    </row>
    <row r="34" spans="1:41" ht="21.75" customHeight="1" x14ac:dyDescent="0.25">
      <c r="A34" s="177"/>
      <c r="B34" s="180" t="s">
        <v>26</v>
      </c>
      <c r="C34" s="172" t="s">
        <v>11</v>
      </c>
      <c r="D34" s="174" t="s">
        <v>27</v>
      </c>
      <c r="E34" s="172" t="s">
        <v>153</v>
      </c>
      <c r="F34" s="37" t="s">
        <v>14</v>
      </c>
      <c r="G34" s="38">
        <f t="shared" ref="G34:M34" si="10">G35+G36+G37</f>
        <v>2926376277.8800001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621028835.57999992</v>
      </c>
      <c r="L34" s="38">
        <f>L35+L36+L37</f>
        <v>635047752.25999999</v>
      </c>
      <c r="M34" s="38">
        <f t="shared" si="10"/>
        <v>650612026.23000002</v>
      </c>
      <c r="N34" s="146" t="s">
        <v>28</v>
      </c>
    </row>
    <row r="35" spans="1:41" ht="21.75" customHeight="1" x14ac:dyDescent="0.25">
      <c r="A35" s="178"/>
      <c r="B35" s="181"/>
      <c r="C35" s="173"/>
      <c r="D35" s="175"/>
      <c r="E35" s="173"/>
      <c r="F35" s="37" t="s">
        <v>133</v>
      </c>
      <c r="G35" s="38">
        <f>H35+I35+J35+K35+M35</f>
        <v>684324284.77999997</v>
      </c>
      <c r="H35" s="38">
        <f t="shared" ref="H35:M35" si="11">H39+H43+H47+H51+H83+H87+H91+H71+H75+H79+H55+H59+H63+H67</f>
        <v>114137373.15000001</v>
      </c>
      <c r="I35" s="38">
        <f t="shared" si="11"/>
        <v>124208329.39000002</v>
      </c>
      <c r="J35" s="38">
        <f t="shared" si="11"/>
        <v>140136671.78</v>
      </c>
      <c r="K35" s="38">
        <f t="shared" si="11"/>
        <v>153202758.22999996</v>
      </c>
      <c r="L35" s="38">
        <f t="shared" si="11"/>
        <v>151153056.25999999</v>
      </c>
      <c r="M35" s="38">
        <f t="shared" si="11"/>
        <v>152639152.22999996</v>
      </c>
      <c r="N35" s="147"/>
      <c r="AO35" s="3">
        <f>SUM('оконч.2022 и бюджет 2023-25'!$G$34:$AN$93)</f>
        <v>25960018000.079994</v>
      </c>
    </row>
    <row r="36" spans="1:41" ht="21.75" customHeight="1" x14ac:dyDescent="0.25">
      <c r="A36" s="178"/>
      <c r="B36" s="181"/>
      <c r="C36" s="173"/>
      <c r="D36" s="175"/>
      <c r="E36" s="173"/>
      <c r="F36" s="37" t="s">
        <v>16</v>
      </c>
      <c r="G36" s="38">
        <f>H36+I36+J36+K36+M36</f>
        <v>2108391693.0999999</v>
      </c>
      <c r="H36" s="38">
        <f t="shared" ref="H36:M37" si="12">H40+H44+H48+H52+H84+H88+H92+H72+H76+H80+H56+H60+H64+H68</f>
        <v>380939856.56999999</v>
      </c>
      <c r="I36" s="38">
        <f t="shared" si="12"/>
        <v>402852039.81</v>
      </c>
      <c r="J36" s="38">
        <f t="shared" si="12"/>
        <v>419990345.37</v>
      </c>
      <c r="K36" s="38">
        <f t="shared" si="12"/>
        <v>437420567.35000002</v>
      </c>
      <c r="L36" s="38">
        <f t="shared" si="12"/>
        <v>453110706</v>
      </c>
      <c r="M36" s="38">
        <f t="shared" si="12"/>
        <v>467188884</v>
      </c>
      <c r="N36" s="147"/>
      <c r="AO36" s="3">
        <f>SUM('оконч.2022 и бюджет 2023-25'!$G$34:$AN$93)</f>
        <v>25960018000.079994</v>
      </c>
    </row>
    <row r="37" spans="1:41" ht="21.75" customHeight="1" x14ac:dyDescent="0.25">
      <c r="A37" s="179"/>
      <c r="B37" s="182"/>
      <c r="C37" s="183"/>
      <c r="D37" s="176"/>
      <c r="E37" s="183"/>
      <c r="F37" s="37" t="s">
        <v>17</v>
      </c>
      <c r="G37" s="38">
        <f>H37+I37+J37+K37+M37</f>
        <v>133660300</v>
      </c>
      <c r="H37" s="38">
        <f t="shared" si="12"/>
        <v>10581400</v>
      </c>
      <c r="I37" s="38">
        <f t="shared" si="12"/>
        <v>30779350</v>
      </c>
      <c r="J37" s="38">
        <f t="shared" si="12"/>
        <v>31110050</v>
      </c>
      <c r="K37" s="38">
        <f t="shared" si="12"/>
        <v>30405510</v>
      </c>
      <c r="L37" s="38">
        <f t="shared" si="12"/>
        <v>30783990</v>
      </c>
      <c r="M37" s="38">
        <f t="shared" si="12"/>
        <v>30783990</v>
      </c>
      <c r="N37" s="147"/>
      <c r="AO37" s="3">
        <f>SUM('оконч.2022 и бюджет 2023-25'!$G$34:$AN$93)</f>
        <v>25960018000.079994</v>
      </c>
    </row>
    <row r="38" spans="1:41" ht="21.75" hidden="1" customHeight="1" outlineLevel="1" x14ac:dyDescent="0.25">
      <c r="A38" s="109" t="s">
        <v>29</v>
      </c>
      <c r="B38" s="112" t="s">
        <v>30</v>
      </c>
      <c r="C38" s="115" t="s">
        <v>11</v>
      </c>
      <c r="D38" s="118" t="s">
        <v>27</v>
      </c>
      <c r="E38" s="115" t="s">
        <v>153</v>
      </c>
      <c r="F38" s="12" t="s">
        <v>14</v>
      </c>
      <c r="G38" s="22">
        <f t="shared" ref="G38:M38" si="13">G39+G40+G41</f>
        <v>0</v>
      </c>
      <c r="H38" s="22">
        <f t="shared" si="13"/>
        <v>0</v>
      </c>
      <c r="I38" s="22">
        <f t="shared" si="13"/>
        <v>0</v>
      </c>
      <c r="J38" s="48">
        <f t="shared" si="13"/>
        <v>0</v>
      </c>
      <c r="K38" s="22">
        <f t="shared" si="13"/>
        <v>0</v>
      </c>
      <c r="L38" s="22">
        <f>L39+L40+L41</f>
        <v>0</v>
      </c>
      <c r="M38" s="22">
        <f t="shared" si="13"/>
        <v>0</v>
      </c>
      <c r="N38" s="147"/>
      <c r="AO38" s="3">
        <f>SUM('оконч.2022 и бюджет 2023-25'!$G$34:$AN$93)</f>
        <v>25960018000.079994</v>
      </c>
    </row>
    <row r="39" spans="1:41" ht="21.75" hidden="1" customHeight="1" outlineLevel="1" x14ac:dyDescent="0.25">
      <c r="A39" s="110"/>
      <c r="B39" s="113"/>
      <c r="C39" s="116"/>
      <c r="D39" s="119"/>
      <c r="E39" s="116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47"/>
      <c r="AO39" s="3">
        <f>SUM(AO35:AO38)</f>
        <v>103840072000.31998</v>
      </c>
    </row>
    <row r="40" spans="1:41" ht="21.75" hidden="1" customHeight="1" outlineLevel="1" x14ac:dyDescent="0.25">
      <c r="A40" s="110"/>
      <c r="B40" s="113"/>
      <c r="C40" s="116"/>
      <c r="D40" s="119"/>
      <c r="E40" s="116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47"/>
    </row>
    <row r="41" spans="1:41" ht="21.75" hidden="1" customHeight="1" outlineLevel="1" x14ac:dyDescent="0.25">
      <c r="A41" s="111"/>
      <c r="B41" s="114"/>
      <c r="C41" s="116"/>
      <c r="D41" s="120"/>
      <c r="E41" s="117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47"/>
      <c r="O41" s="3"/>
    </row>
    <row r="42" spans="1:41" ht="21.75" hidden="1" customHeight="1" outlineLevel="1" x14ac:dyDescent="0.25">
      <c r="A42" s="109" t="s">
        <v>31</v>
      </c>
      <c r="B42" s="112" t="s">
        <v>32</v>
      </c>
      <c r="C42" s="115" t="s">
        <v>11</v>
      </c>
      <c r="D42" s="118" t="s">
        <v>27</v>
      </c>
      <c r="E42" s="115" t="s">
        <v>153</v>
      </c>
      <c r="F42" s="12" t="s">
        <v>14</v>
      </c>
      <c r="G42" s="22">
        <f t="shared" ref="G42:M42" si="14">G43+G44+G45</f>
        <v>0</v>
      </c>
      <c r="H42" s="22">
        <f t="shared" si="14"/>
        <v>0</v>
      </c>
      <c r="I42" s="22">
        <f t="shared" si="14"/>
        <v>0</v>
      </c>
      <c r="J42" s="48">
        <f t="shared" si="14"/>
        <v>0</v>
      </c>
      <c r="K42" s="22">
        <f t="shared" si="14"/>
        <v>0</v>
      </c>
      <c r="L42" s="22">
        <f>L43+L44+L45</f>
        <v>0</v>
      </c>
      <c r="M42" s="22">
        <f t="shared" si="14"/>
        <v>0</v>
      </c>
      <c r="N42" s="147"/>
      <c r="P42" s="3"/>
    </row>
    <row r="43" spans="1:41" ht="21.75" hidden="1" customHeight="1" outlineLevel="1" x14ac:dyDescent="0.25">
      <c r="A43" s="110"/>
      <c r="B43" s="113"/>
      <c r="C43" s="116"/>
      <c r="D43" s="119"/>
      <c r="E43" s="116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47"/>
    </row>
    <row r="44" spans="1:41" ht="21.75" hidden="1" customHeight="1" outlineLevel="1" x14ac:dyDescent="0.25">
      <c r="A44" s="110"/>
      <c r="B44" s="113"/>
      <c r="C44" s="116"/>
      <c r="D44" s="119"/>
      <c r="E44" s="116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47"/>
      <c r="O44" s="6">
        <f>'[3]9 мес 2021'!$H$25-I44</f>
        <v>8816768</v>
      </c>
    </row>
    <row r="45" spans="1:41" ht="21.75" hidden="1" customHeight="1" outlineLevel="1" x14ac:dyDescent="0.25">
      <c r="A45" s="111"/>
      <c r="B45" s="114"/>
      <c r="C45" s="116"/>
      <c r="D45" s="120"/>
      <c r="E45" s="117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47"/>
      <c r="O45" s="7"/>
    </row>
    <row r="46" spans="1:41" ht="21.75" hidden="1" customHeight="1" outlineLevel="1" x14ac:dyDescent="0.25">
      <c r="A46" s="109" t="s">
        <v>33</v>
      </c>
      <c r="B46" s="112" t="s">
        <v>34</v>
      </c>
      <c r="C46" s="115" t="s">
        <v>11</v>
      </c>
      <c r="D46" s="118" t="s">
        <v>27</v>
      </c>
      <c r="E46" s="115" t="s">
        <v>153</v>
      </c>
      <c r="F46" s="12" t="s">
        <v>14</v>
      </c>
      <c r="G46" s="22">
        <f t="shared" ref="G46:M46" si="15">G47+G48+G49</f>
        <v>0</v>
      </c>
      <c r="H46" s="22">
        <f t="shared" si="15"/>
        <v>0</v>
      </c>
      <c r="I46" s="22">
        <f t="shared" si="15"/>
        <v>0</v>
      </c>
      <c r="J46" s="48">
        <f t="shared" si="15"/>
        <v>0</v>
      </c>
      <c r="K46" s="22">
        <f t="shared" si="15"/>
        <v>0</v>
      </c>
      <c r="L46" s="22">
        <f>L47+L48+L49</f>
        <v>0</v>
      </c>
      <c r="M46" s="22">
        <f t="shared" si="15"/>
        <v>0</v>
      </c>
      <c r="N46" s="147"/>
      <c r="O46" s="7"/>
    </row>
    <row r="47" spans="1:41" ht="21.75" hidden="1" customHeight="1" outlineLevel="1" x14ac:dyDescent="0.25">
      <c r="A47" s="110"/>
      <c r="B47" s="113"/>
      <c r="C47" s="116"/>
      <c r="D47" s="119"/>
      <c r="E47" s="116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47"/>
      <c r="O47" s="7"/>
    </row>
    <row r="48" spans="1:41" ht="21.75" hidden="1" customHeight="1" outlineLevel="1" x14ac:dyDescent="0.25">
      <c r="A48" s="110"/>
      <c r="B48" s="113"/>
      <c r="C48" s="116"/>
      <c r="D48" s="119"/>
      <c r="E48" s="116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47"/>
      <c r="O48" s="6"/>
    </row>
    <row r="49" spans="1:16" ht="21.75" hidden="1" customHeight="1" outlineLevel="1" x14ac:dyDescent="0.25">
      <c r="A49" s="111"/>
      <c r="B49" s="114"/>
      <c r="C49" s="116"/>
      <c r="D49" s="120"/>
      <c r="E49" s="117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47"/>
    </row>
    <row r="50" spans="1:16" ht="21.75" customHeight="1" collapsed="1" x14ac:dyDescent="0.25">
      <c r="A50" s="109" t="s">
        <v>18</v>
      </c>
      <c r="B50" s="121" t="s">
        <v>35</v>
      </c>
      <c r="C50" s="115" t="s">
        <v>11</v>
      </c>
      <c r="D50" s="118" t="s">
        <v>27</v>
      </c>
      <c r="E50" s="115" t="s">
        <v>153</v>
      </c>
      <c r="F50" s="12" t="s">
        <v>14</v>
      </c>
      <c r="G50" s="22">
        <f t="shared" ref="G50:M50" si="16">G51+G52+G53</f>
        <v>2601267664.29</v>
      </c>
      <c r="H50" s="22">
        <f t="shared" si="16"/>
        <v>470828018.72000003</v>
      </c>
      <c r="I50" s="22">
        <f t="shared" si="16"/>
        <v>487676039.38999999</v>
      </c>
      <c r="J50" s="48">
        <f t="shared" si="16"/>
        <v>517542710.49000001</v>
      </c>
      <c r="K50" s="22">
        <f t="shared" si="16"/>
        <v>551075639.0999999</v>
      </c>
      <c r="L50" s="22">
        <f>L51+L52+L53</f>
        <v>563780982.62</v>
      </c>
      <c r="M50" s="22">
        <f t="shared" si="16"/>
        <v>574145256.58999991</v>
      </c>
      <c r="N50" s="147"/>
      <c r="O50" s="3"/>
    </row>
    <row r="51" spans="1:16" ht="21.75" customHeight="1" x14ac:dyDescent="0.25">
      <c r="A51" s="110"/>
      <c r="B51" s="122"/>
      <c r="C51" s="116"/>
      <c r="D51" s="119"/>
      <c r="E51" s="116"/>
      <c r="F51" s="12" t="s">
        <v>133</v>
      </c>
      <c r="G51" s="22">
        <f>H51+I51+J51+K51+M51</f>
        <v>670742244.19999993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'[1]Бюджет 2023-2025 МБ, ОБ, ФБ'!$J$26</f>
        <v>150756372.58999997</v>
      </c>
      <c r="L51" s="22">
        <v>149270276.62</v>
      </c>
      <c r="M51" s="22">
        <f>'[1]Бюджет 2023-2025 МБ, ОБ, ФБ'!$R$26</f>
        <v>150756372.58999997</v>
      </c>
      <c r="N51" s="147"/>
    </row>
    <row r="52" spans="1:16" ht="21.75" customHeight="1" x14ac:dyDescent="0.25">
      <c r="A52" s="110"/>
      <c r="B52" s="122"/>
      <c r="C52" s="116"/>
      <c r="D52" s="119"/>
      <c r="E52" s="116"/>
      <c r="F52" s="12" t="s">
        <v>16</v>
      </c>
      <c r="G52" s="22">
        <f>H52+I52+J52+K52+M52</f>
        <v>1919944020.0899999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f>'[1]Бюджет 2023-2025 МБ, ОБ, ФБ'!$J$24</f>
        <v>400319266.50999999</v>
      </c>
      <c r="L52" s="22">
        <f>'[1]Бюджет 2023-2025 МБ, ОБ, ФБ'!$Q$24</f>
        <v>414510706</v>
      </c>
      <c r="M52" s="22">
        <f>'[1]Бюджет 2023-2025 МБ, ОБ, ФБ'!$R$24</f>
        <v>423388884</v>
      </c>
      <c r="N52" s="147"/>
      <c r="O52" s="3"/>
    </row>
    <row r="53" spans="1:16" ht="21.75" customHeight="1" x14ac:dyDescent="0.25">
      <c r="A53" s="111"/>
      <c r="B53" s="123"/>
      <c r="C53" s="116"/>
      <c r="D53" s="120"/>
      <c r="E53" s="117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47"/>
      <c r="O53" s="7"/>
      <c r="P53" s="8"/>
    </row>
    <row r="54" spans="1:16" ht="21.75" customHeight="1" collapsed="1" x14ac:dyDescent="0.25">
      <c r="A54" s="109" t="s">
        <v>25</v>
      </c>
      <c r="B54" s="121" t="s">
        <v>40</v>
      </c>
      <c r="C54" s="115" t="s">
        <v>11</v>
      </c>
      <c r="D54" s="118" t="s">
        <v>27</v>
      </c>
      <c r="E54" s="115" t="s">
        <v>153</v>
      </c>
      <c r="F54" s="12" t="s">
        <v>14</v>
      </c>
      <c r="G54" s="22">
        <f t="shared" ref="G54:M54" si="17">G55+G56+G57</f>
        <v>123078900</v>
      </c>
      <c r="H54" s="22">
        <f t="shared" si="17"/>
        <v>0</v>
      </c>
      <c r="I54" s="22">
        <f t="shared" si="17"/>
        <v>30779350</v>
      </c>
      <c r="J54" s="48">
        <f t="shared" si="17"/>
        <v>31110050</v>
      </c>
      <c r="K54" s="22">
        <f t="shared" si="17"/>
        <v>30405510</v>
      </c>
      <c r="L54" s="22">
        <f t="shared" si="17"/>
        <v>30783990</v>
      </c>
      <c r="M54" s="22">
        <f t="shared" si="17"/>
        <v>30783990</v>
      </c>
      <c r="N54" s="147"/>
    </row>
    <row r="55" spans="1:16" ht="21.75" customHeight="1" x14ac:dyDescent="0.25">
      <c r="A55" s="110"/>
      <c r="B55" s="122"/>
      <c r="C55" s="116"/>
      <c r="D55" s="119"/>
      <c r="E55" s="116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47"/>
    </row>
    <row r="56" spans="1:16" ht="21.75" customHeight="1" x14ac:dyDescent="0.25">
      <c r="A56" s="110"/>
      <c r="B56" s="122"/>
      <c r="C56" s="116"/>
      <c r="D56" s="119"/>
      <c r="E56" s="116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47"/>
    </row>
    <row r="57" spans="1:16" ht="21.75" customHeight="1" x14ac:dyDescent="0.25">
      <c r="A57" s="111"/>
      <c r="B57" s="123"/>
      <c r="C57" s="116"/>
      <c r="D57" s="120"/>
      <c r="E57" s="117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f>'[1]Бюджет 2023-2025 МБ, ОБ, ФБ'!$J$25</f>
        <v>30405510</v>
      </c>
      <c r="L57" s="22">
        <f>'[1]Бюджет 2023-2025 МБ, ОБ, ФБ'!$Q$25</f>
        <v>30783990</v>
      </c>
      <c r="M57" s="22">
        <f>'[1]Бюджет 2023-2025 МБ, ОБ, ФБ'!$R$25</f>
        <v>30783990</v>
      </c>
      <c r="N57" s="147"/>
    </row>
    <row r="58" spans="1:16" ht="21.75" customHeight="1" x14ac:dyDescent="0.25">
      <c r="A58" s="124" t="s">
        <v>44</v>
      </c>
      <c r="B58" s="112" t="s">
        <v>43</v>
      </c>
      <c r="C58" s="115" t="s">
        <v>11</v>
      </c>
      <c r="D58" s="127" t="s">
        <v>37</v>
      </c>
      <c r="E58" s="115" t="s">
        <v>153</v>
      </c>
      <c r="F58" s="12" t="s">
        <v>14</v>
      </c>
      <c r="G58" s="22">
        <f t="shared" ref="G58:M58" si="18">G59+G60+G61</f>
        <v>300000</v>
      </c>
      <c r="H58" s="22">
        <f t="shared" si="18"/>
        <v>60000</v>
      </c>
      <c r="I58" s="22">
        <f t="shared" si="18"/>
        <v>60000</v>
      </c>
      <c r="J58" s="48">
        <f t="shared" si="18"/>
        <v>60000</v>
      </c>
      <c r="K58" s="22">
        <f t="shared" si="18"/>
        <v>60000</v>
      </c>
      <c r="L58" s="22">
        <f t="shared" si="18"/>
        <v>60000</v>
      </c>
      <c r="M58" s="22">
        <f t="shared" si="18"/>
        <v>60000</v>
      </c>
      <c r="N58" s="147"/>
    </row>
    <row r="59" spans="1:16" ht="21.75" customHeight="1" x14ac:dyDescent="0.25">
      <c r="A59" s="125"/>
      <c r="B59" s="113"/>
      <c r="C59" s="116"/>
      <c r="D59" s="128"/>
      <c r="E59" s="116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47"/>
    </row>
    <row r="60" spans="1:16" ht="21.75" customHeight="1" x14ac:dyDescent="0.25">
      <c r="A60" s="125"/>
      <c r="B60" s="113"/>
      <c r="C60" s="116"/>
      <c r="D60" s="128"/>
      <c r="E60" s="116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47"/>
    </row>
    <row r="61" spans="1:16" ht="21" customHeight="1" x14ac:dyDescent="0.25">
      <c r="A61" s="126"/>
      <c r="B61" s="114"/>
      <c r="C61" s="116"/>
      <c r="D61" s="129"/>
      <c r="E61" s="117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47"/>
    </row>
    <row r="62" spans="1:16" ht="21.75" customHeight="1" x14ac:dyDescent="0.25">
      <c r="A62" s="124" t="s">
        <v>48</v>
      </c>
      <c r="B62" s="121" t="s">
        <v>53</v>
      </c>
      <c r="C62" s="115" t="s">
        <v>11</v>
      </c>
      <c r="D62" s="127" t="s">
        <v>54</v>
      </c>
      <c r="E62" s="115" t="s">
        <v>153</v>
      </c>
      <c r="F62" s="12" t="s">
        <v>14</v>
      </c>
      <c r="G62" s="22">
        <f t="shared" ref="G62:M62" si="19">G63+G64+G65</f>
        <v>1887641.65</v>
      </c>
      <c r="H62" s="22">
        <f t="shared" si="19"/>
        <v>393480</v>
      </c>
      <c r="I62" s="22">
        <f t="shared" si="19"/>
        <v>1094161.6499999999</v>
      </c>
      <c r="J62" s="48">
        <f t="shared" si="19"/>
        <v>400000</v>
      </c>
      <c r="K62" s="22">
        <f t="shared" si="19"/>
        <v>0</v>
      </c>
      <c r="L62" s="22">
        <f t="shared" si="19"/>
        <v>0</v>
      </c>
      <c r="M62" s="22">
        <f t="shared" si="19"/>
        <v>0</v>
      </c>
      <c r="N62" s="147"/>
    </row>
    <row r="63" spans="1:16" ht="21.75" customHeight="1" x14ac:dyDescent="0.25">
      <c r="A63" s="125"/>
      <c r="B63" s="122"/>
      <c r="C63" s="116"/>
      <c r="D63" s="128"/>
      <c r="E63" s="116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47"/>
    </row>
    <row r="64" spans="1:16" ht="21.75" customHeight="1" x14ac:dyDescent="0.25">
      <c r="A64" s="125"/>
      <c r="B64" s="122"/>
      <c r="C64" s="116"/>
      <c r="D64" s="128"/>
      <c r="E64" s="116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47"/>
    </row>
    <row r="65" spans="1:14" ht="21.75" customHeight="1" x14ac:dyDescent="0.25">
      <c r="A65" s="126"/>
      <c r="B65" s="123"/>
      <c r="C65" s="116"/>
      <c r="D65" s="129"/>
      <c r="E65" s="117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47"/>
    </row>
    <row r="66" spans="1:14" ht="21.75" customHeight="1" x14ac:dyDescent="0.25">
      <c r="A66" s="130" t="s">
        <v>56</v>
      </c>
      <c r="B66" s="133" t="s">
        <v>41</v>
      </c>
      <c r="C66" s="136" t="s">
        <v>11</v>
      </c>
      <c r="D66" s="138" t="s">
        <v>42</v>
      </c>
      <c r="E66" s="136" t="s">
        <v>153</v>
      </c>
      <c r="F66" s="49" t="s">
        <v>14</v>
      </c>
      <c r="G66" s="48">
        <f t="shared" ref="G66:M66" si="20">G67+G68+G69</f>
        <v>220242.99</v>
      </c>
      <c r="H66" s="48">
        <f t="shared" si="20"/>
        <v>0</v>
      </c>
      <c r="I66" s="48">
        <f t="shared" si="20"/>
        <v>0</v>
      </c>
      <c r="J66" s="48">
        <f t="shared" si="20"/>
        <v>220242.99</v>
      </c>
      <c r="K66" s="48">
        <f t="shared" si="20"/>
        <v>0</v>
      </c>
      <c r="L66" s="48">
        <f t="shared" si="20"/>
        <v>0</v>
      </c>
      <c r="M66" s="48">
        <f t="shared" si="20"/>
        <v>0</v>
      </c>
      <c r="N66" s="147"/>
    </row>
    <row r="67" spans="1:14" ht="21.75" customHeight="1" x14ac:dyDescent="0.25">
      <c r="A67" s="131"/>
      <c r="B67" s="134"/>
      <c r="C67" s="137"/>
      <c r="D67" s="139"/>
      <c r="E67" s="137"/>
      <c r="F67" s="49" t="s">
        <v>15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47"/>
    </row>
    <row r="68" spans="1:14" ht="21.75" customHeight="1" x14ac:dyDescent="0.25">
      <c r="A68" s="131"/>
      <c r="B68" s="134"/>
      <c r="C68" s="137"/>
      <c r="D68" s="139"/>
      <c r="E68" s="137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47"/>
    </row>
    <row r="69" spans="1:14" ht="21.75" customHeight="1" x14ac:dyDescent="0.25">
      <c r="A69" s="132"/>
      <c r="B69" s="135"/>
      <c r="C69" s="137"/>
      <c r="D69" s="140"/>
      <c r="E69" s="141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47"/>
    </row>
    <row r="70" spans="1:14" ht="21.75" customHeight="1" collapsed="1" x14ac:dyDescent="0.25">
      <c r="A70" s="124" t="s">
        <v>94</v>
      </c>
      <c r="B70" s="112" t="s">
        <v>45</v>
      </c>
      <c r="C70" s="115" t="s">
        <v>11</v>
      </c>
      <c r="D70" s="118" t="s">
        <v>42</v>
      </c>
      <c r="E70" s="115" t="s">
        <v>153</v>
      </c>
      <c r="F70" s="12" t="s">
        <v>14</v>
      </c>
      <c r="G70" s="22">
        <f t="shared" ref="G70:M70" si="21">G71+G72+G73</f>
        <v>500000</v>
      </c>
      <c r="H70" s="22">
        <f t="shared" si="21"/>
        <v>90000</v>
      </c>
      <c r="I70" s="22">
        <f t="shared" si="21"/>
        <v>100000</v>
      </c>
      <c r="J70" s="22">
        <f t="shared" si="21"/>
        <v>100000</v>
      </c>
      <c r="K70" s="22">
        <f t="shared" si="21"/>
        <v>105000</v>
      </c>
      <c r="L70" s="22">
        <f t="shared" si="21"/>
        <v>105000</v>
      </c>
      <c r="M70" s="22">
        <f t="shared" si="21"/>
        <v>105000</v>
      </c>
      <c r="N70" s="147"/>
    </row>
    <row r="71" spans="1:14" ht="21.75" customHeight="1" x14ac:dyDescent="0.25">
      <c r="A71" s="125"/>
      <c r="B71" s="113"/>
      <c r="C71" s="116"/>
      <c r="D71" s="119"/>
      <c r="E71" s="116"/>
      <c r="F71" s="12" t="s">
        <v>133</v>
      </c>
      <c r="G71" s="22">
        <f>H71+I71+J71+K71+M71</f>
        <v>500000</v>
      </c>
      <c r="H71" s="22">
        <v>90000</v>
      </c>
      <c r="I71" s="22">
        <f>100000</f>
        <v>100000</v>
      </c>
      <c r="J71" s="22">
        <v>100000</v>
      </c>
      <c r="K71" s="22">
        <v>105000</v>
      </c>
      <c r="L71" s="22">
        <v>105000</v>
      </c>
      <c r="M71" s="22">
        <v>105000</v>
      </c>
      <c r="N71" s="147"/>
    </row>
    <row r="72" spans="1:14" ht="21.75" customHeight="1" x14ac:dyDescent="0.25">
      <c r="A72" s="125"/>
      <c r="B72" s="113"/>
      <c r="C72" s="116"/>
      <c r="D72" s="119"/>
      <c r="E72" s="116"/>
      <c r="F72" s="12" t="s">
        <v>16</v>
      </c>
      <c r="G72" s="22">
        <f>H72+I72+J72+K72+M72</f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147"/>
    </row>
    <row r="73" spans="1:14" ht="21.75" customHeight="1" x14ac:dyDescent="0.25">
      <c r="A73" s="126"/>
      <c r="B73" s="114"/>
      <c r="C73" s="116"/>
      <c r="D73" s="120"/>
      <c r="E73" s="117"/>
      <c r="F73" s="12" t="s">
        <v>17</v>
      </c>
      <c r="G73" s="22">
        <f>H73+I73+J73+K73+M73</f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147"/>
    </row>
    <row r="74" spans="1:14" ht="21.75" customHeight="1" x14ac:dyDescent="0.25">
      <c r="A74" s="109" t="s">
        <v>102</v>
      </c>
      <c r="B74" s="112" t="s">
        <v>36</v>
      </c>
      <c r="C74" s="115" t="s">
        <v>11</v>
      </c>
      <c r="D74" s="127" t="s">
        <v>37</v>
      </c>
      <c r="E74" s="115" t="s">
        <v>153</v>
      </c>
      <c r="F74" s="12" t="s">
        <v>14</v>
      </c>
      <c r="G74" s="22">
        <f t="shared" ref="G74:M74" si="22">G75+G76+G77</f>
        <v>4661070.7300000004</v>
      </c>
      <c r="H74" s="22">
        <f t="shared" si="22"/>
        <v>1481975</v>
      </c>
      <c r="I74" s="22">
        <f t="shared" si="22"/>
        <v>653058.44999999995</v>
      </c>
      <c r="J74" s="48">
        <f t="shared" si="22"/>
        <v>888490</v>
      </c>
      <c r="K74" s="22">
        <f t="shared" si="22"/>
        <v>1068773.6400000001</v>
      </c>
      <c r="L74" s="22">
        <f t="shared" si="22"/>
        <v>568773.64</v>
      </c>
      <c r="M74" s="22">
        <f t="shared" si="22"/>
        <v>568773.64</v>
      </c>
      <c r="N74" s="147"/>
    </row>
    <row r="75" spans="1:14" ht="21.75" customHeight="1" x14ac:dyDescent="0.25">
      <c r="A75" s="110"/>
      <c r="B75" s="113"/>
      <c r="C75" s="116"/>
      <c r="D75" s="128"/>
      <c r="E75" s="116"/>
      <c r="F75" s="12" t="s">
        <v>133</v>
      </c>
      <c r="G75" s="22">
        <f>H75+I75+J75+K75+M75</f>
        <v>4661070.7300000004</v>
      </c>
      <c r="H75" s="22">
        <v>1481975</v>
      </c>
      <c r="I75" s="22">
        <f>1481975-602271.91-226644.64</f>
        <v>653058.44999999995</v>
      </c>
      <c r="J75" s="48">
        <v>888490</v>
      </c>
      <c r="K75" s="22">
        <f>'[1]Бюджет 2023-2025 МБ, ОБ, ФБ'!$J$11</f>
        <v>1068773.6400000001</v>
      </c>
      <c r="L75" s="22">
        <v>568773.64</v>
      </c>
      <c r="M75" s="22">
        <v>568773.64</v>
      </c>
      <c r="N75" s="147"/>
    </row>
    <row r="76" spans="1:14" ht="21.75" customHeight="1" x14ac:dyDescent="0.25">
      <c r="A76" s="110"/>
      <c r="B76" s="113"/>
      <c r="C76" s="116"/>
      <c r="D76" s="128"/>
      <c r="E76" s="116"/>
      <c r="F76" s="12" t="s">
        <v>16</v>
      </c>
      <c r="G76" s="22">
        <f>H76+I76+J76+K76+M76</f>
        <v>0</v>
      </c>
      <c r="H76" s="22">
        <v>0</v>
      </c>
      <c r="I76" s="22">
        <v>0</v>
      </c>
      <c r="J76" s="48">
        <v>0</v>
      </c>
      <c r="K76" s="22">
        <v>0</v>
      </c>
      <c r="L76" s="22">
        <v>0</v>
      </c>
      <c r="M76" s="22">
        <v>0</v>
      </c>
      <c r="N76" s="147"/>
    </row>
    <row r="77" spans="1:14" ht="21.75" customHeight="1" x14ac:dyDescent="0.25">
      <c r="A77" s="111"/>
      <c r="B77" s="114"/>
      <c r="C77" s="116"/>
      <c r="D77" s="129"/>
      <c r="E77" s="117"/>
      <c r="F77" s="12" t="s">
        <v>17</v>
      </c>
      <c r="G77" s="22">
        <f>H77+I77+J77+K77+M77</f>
        <v>0</v>
      </c>
      <c r="H77" s="22">
        <v>0</v>
      </c>
      <c r="I77" s="22">
        <v>0</v>
      </c>
      <c r="J77" s="48">
        <v>0</v>
      </c>
      <c r="K77" s="22">
        <v>0</v>
      </c>
      <c r="L77" s="22">
        <v>0</v>
      </c>
      <c r="M77" s="22">
        <v>0</v>
      </c>
      <c r="N77" s="147"/>
    </row>
    <row r="78" spans="1:14" ht="21.75" customHeight="1" collapsed="1" x14ac:dyDescent="0.25">
      <c r="A78" s="109" t="s">
        <v>124</v>
      </c>
      <c r="B78" s="112" t="s">
        <v>125</v>
      </c>
      <c r="C78" s="115" t="s">
        <v>11</v>
      </c>
      <c r="D78" s="115" t="s">
        <v>113</v>
      </c>
      <c r="E78" s="115" t="s">
        <v>153</v>
      </c>
      <c r="F78" s="12" t="s">
        <v>14</v>
      </c>
      <c r="G78" s="22">
        <f t="shared" ref="G78:M78" si="23">G79+G80+G81</f>
        <v>245901.6</v>
      </c>
      <c r="H78" s="22">
        <f t="shared" si="23"/>
        <v>0</v>
      </c>
      <c r="I78" s="22">
        <f t="shared" si="23"/>
        <v>0</v>
      </c>
      <c r="J78" s="48">
        <f t="shared" si="23"/>
        <v>149349.60000000003</v>
      </c>
      <c r="K78" s="22">
        <f t="shared" si="23"/>
        <v>48276</v>
      </c>
      <c r="L78" s="22">
        <f t="shared" si="23"/>
        <v>48276</v>
      </c>
      <c r="M78" s="22">
        <f t="shared" si="23"/>
        <v>48276</v>
      </c>
      <c r="N78" s="147"/>
    </row>
    <row r="79" spans="1:14" ht="21.75" customHeight="1" x14ac:dyDescent="0.25">
      <c r="A79" s="110"/>
      <c r="B79" s="113"/>
      <c r="C79" s="116"/>
      <c r="D79" s="116"/>
      <c r="E79" s="116"/>
      <c r="F79" s="12" t="s">
        <v>133</v>
      </c>
      <c r="G79" s="22">
        <f>H79+I79+J79+K79+M79</f>
        <v>149352</v>
      </c>
      <c r="H79" s="22">
        <v>0</v>
      </c>
      <c r="I79" s="22">
        <v>0</v>
      </c>
      <c r="J79" s="48">
        <f>'[4]остатки средств в ФК_3'!$AI$100+'[4]остатки средств в ФК_3'!$AI$98</f>
        <v>52800.000000000015</v>
      </c>
      <c r="K79" s="22">
        <f>'[1]Бюджет 2023-2025 МБ, ОБ, ФБ'!$J$73</f>
        <v>48276</v>
      </c>
      <c r="L79" s="22">
        <v>48276</v>
      </c>
      <c r="M79" s="22">
        <v>48276</v>
      </c>
      <c r="N79" s="147"/>
    </row>
    <row r="80" spans="1:14" ht="21.75" customHeight="1" x14ac:dyDescent="0.25">
      <c r="A80" s="110"/>
      <c r="B80" s="113"/>
      <c r="C80" s="116"/>
      <c r="D80" s="116"/>
      <c r="E80" s="116"/>
      <c r="F80" s="12" t="s">
        <v>16</v>
      </c>
      <c r="G80" s="22">
        <f>H80+I80+J80+K80+M80</f>
        <v>96549.6</v>
      </c>
      <c r="H80" s="22">
        <v>0</v>
      </c>
      <c r="I80" s="22">
        <v>0</v>
      </c>
      <c r="J80" s="48">
        <f>'[4]остатки средств в ФК_3'!$AH$100</f>
        <v>96549.6</v>
      </c>
      <c r="K80" s="48"/>
      <c r="L80" s="48"/>
      <c r="M80" s="48"/>
      <c r="N80" s="147"/>
    </row>
    <row r="81" spans="1:15" ht="21.75" customHeight="1" x14ac:dyDescent="0.25">
      <c r="A81" s="111"/>
      <c r="B81" s="114"/>
      <c r="C81" s="117"/>
      <c r="D81" s="117"/>
      <c r="E81" s="117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47"/>
    </row>
    <row r="82" spans="1:15" ht="21.75" customHeight="1" x14ac:dyDescent="0.25">
      <c r="A82" s="109" t="s">
        <v>128</v>
      </c>
      <c r="B82" s="121" t="s">
        <v>22</v>
      </c>
      <c r="C82" s="115" t="s">
        <v>11</v>
      </c>
      <c r="D82" s="118" t="s">
        <v>27</v>
      </c>
      <c r="E82" s="115" t="s">
        <v>153</v>
      </c>
      <c r="F82" s="12" t="s">
        <v>14</v>
      </c>
      <c r="G82" s="22">
        <f t="shared" ref="G82:M82" si="24">G83+G84+G85</f>
        <v>5474764.5199999996</v>
      </c>
      <c r="H82" s="22">
        <f t="shared" si="24"/>
        <v>1006307</v>
      </c>
      <c r="I82" s="22">
        <f t="shared" si="24"/>
        <v>1385373.84</v>
      </c>
      <c r="J82" s="48">
        <f t="shared" si="24"/>
        <v>881623.68</v>
      </c>
      <c r="K82" s="22">
        <f t="shared" si="24"/>
        <v>1100730</v>
      </c>
      <c r="L82" s="22">
        <f>L83+L84+L85</f>
        <v>1100730</v>
      </c>
      <c r="M82" s="22">
        <f t="shared" si="24"/>
        <v>1100730</v>
      </c>
      <c r="N82" s="147"/>
    </row>
    <row r="83" spans="1:15" ht="21.75" customHeight="1" x14ac:dyDescent="0.25">
      <c r="A83" s="110"/>
      <c r="B83" s="122"/>
      <c r="C83" s="116"/>
      <c r="D83" s="119"/>
      <c r="E83" s="116"/>
      <c r="F83" s="12" t="s">
        <v>133</v>
      </c>
      <c r="G83" s="22">
        <f>H83+I83+J83+K83+M83</f>
        <v>5474764.5199999996</v>
      </c>
      <c r="H83" s="22">
        <v>1006307</v>
      </c>
      <c r="I83" s="22">
        <f>1199420.42+157723.37+28230.05</f>
        <v>1385373.84</v>
      </c>
      <c r="J83" s="48">
        <f>965822.81-130616.86+22367.74+24049.99</f>
        <v>881623.68</v>
      </c>
      <c r="K83" s="22">
        <f>'[1]Бюджет 2023-2025 МБ, ОБ, ФБ'!$J$27</f>
        <v>1100730</v>
      </c>
      <c r="L83" s="22">
        <v>1100730</v>
      </c>
      <c r="M83" s="22">
        <v>1100730</v>
      </c>
      <c r="N83" s="147"/>
    </row>
    <row r="84" spans="1:15" ht="21.75" customHeight="1" x14ac:dyDescent="0.25">
      <c r="A84" s="110"/>
      <c r="B84" s="122"/>
      <c r="C84" s="116"/>
      <c r="D84" s="119"/>
      <c r="E84" s="116"/>
      <c r="F84" s="12" t="s">
        <v>16</v>
      </c>
      <c r="G84" s="22">
        <f>H84+I84+J84+K84+M84</f>
        <v>0</v>
      </c>
      <c r="H84" s="22">
        <v>0</v>
      </c>
      <c r="I84" s="22">
        <v>0</v>
      </c>
      <c r="J84" s="48">
        <v>0</v>
      </c>
      <c r="K84" s="22">
        <v>0</v>
      </c>
      <c r="L84" s="22">
        <v>0</v>
      </c>
      <c r="M84" s="22">
        <v>0</v>
      </c>
      <c r="N84" s="147"/>
    </row>
    <row r="85" spans="1:15" ht="21.75" customHeight="1" x14ac:dyDescent="0.25">
      <c r="A85" s="111"/>
      <c r="B85" s="123"/>
      <c r="C85" s="116"/>
      <c r="D85" s="120"/>
      <c r="E85" s="117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47"/>
    </row>
    <row r="86" spans="1:15" ht="21.75" customHeight="1" x14ac:dyDescent="0.25">
      <c r="A86" s="109" t="s">
        <v>144</v>
      </c>
      <c r="B86" s="121" t="s">
        <v>23</v>
      </c>
      <c r="C86" s="115" t="s">
        <v>11</v>
      </c>
      <c r="D86" s="118" t="s">
        <v>27</v>
      </c>
      <c r="E86" s="115" t="s">
        <v>153</v>
      </c>
      <c r="F86" s="12" t="s">
        <v>14</v>
      </c>
      <c r="G86" s="22">
        <f t="shared" ref="G86:M86" si="25">G87+G88+G89</f>
        <v>188740092.09999999</v>
      </c>
      <c r="H86" s="22">
        <f t="shared" si="25"/>
        <v>31798849</v>
      </c>
      <c r="I86" s="22">
        <f t="shared" si="25"/>
        <v>36091735.869999997</v>
      </c>
      <c r="J86" s="48">
        <f t="shared" si="25"/>
        <v>39884600.390000001</v>
      </c>
      <c r="K86" s="22">
        <f t="shared" si="25"/>
        <v>37164906.840000004</v>
      </c>
      <c r="L86" s="22">
        <f>L87+L88+L89</f>
        <v>38600000</v>
      </c>
      <c r="M86" s="22">
        <f t="shared" si="25"/>
        <v>43800000</v>
      </c>
      <c r="N86" s="147"/>
    </row>
    <row r="87" spans="1:15" ht="21.75" customHeight="1" x14ac:dyDescent="0.25">
      <c r="A87" s="110"/>
      <c r="B87" s="122"/>
      <c r="C87" s="116"/>
      <c r="D87" s="119"/>
      <c r="E87" s="116"/>
      <c r="F87" s="12" t="s">
        <v>133</v>
      </c>
      <c r="G87" s="22">
        <f>H87+I87+J87+K87+M87</f>
        <v>388968.69</v>
      </c>
      <c r="H87" s="22">
        <v>100000</v>
      </c>
      <c r="I87" s="22">
        <f>101833.11+23737.45</f>
        <v>125570.56</v>
      </c>
      <c r="J87" s="48">
        <v>99792.13</v>
      </c>
      <c r="K87" s="22">
        <v>63606</v>
      </c>
      <c r="L87" s="22">
        <v>0</v>
      </c>
      <c r="M87" s="22">
        <v>0</v>
      </c>
      <c r="N87" s="147"/>
    </row>
    <row r="88" spans="1:15" ht="21.75" customHeight="1" x14ac:dyDescent="0.25">
      <c r="A88" s="110"/>
      <c r="B88" s="122"/>
      <c r="C88" s="116"/>
      <c r="D88" s="119"/>
      <c r="E88" s="116"/>
      <c r="F88" s="12" t="s">
        <v>16</v>
      </c>
      <c r="G88" s="22">
        <f>H88+I88+J88+K88+M88</f>
        <v>188351123.41</v>
      </c>
      <c r="H88" s="22">
        <v>31698849</v>
      </c>
      <c r="I88" s="22">
        <f>35963535.87+2629.44</f>
        <v>35966165.309999995</v>
      </c>
      <c r="J88" s="48">
        <f>'[2]остатки средств в ФК_8'!$R$34+2040.87</f>
        <v>39784808.259999998</v>
      </c>
      <c r="K88" s="22">
        <f>'[1]Бюджет 2023-2025 МБ, ОБ, ФБ'!$J$22+1300.84</f>
        <v>37101300.840000004</v>
      </c>
      <c r="L88" s="22">
        <f>'[1]Бюджет 2023-2025 МБ, ОБ, ФБ'!$Q$22</f>
        <v>38600000</v>
      </c>
      <c r="M88" s="22">
        <f>'[1]Бюджет 2023-2025 МБ, ОБ, ФБ'!$R$22</f>
        <v>43800000</v>
      </c>
      <c r="N88" s="147"/>
    </row>
    <row r="89" spans="1:15" ht="21.75" customHeight="1" x14ac:dyDescent="0.25">
      <c r="A89" s="111"/>
      <c r="B89" s="123"/>
      <c r="C89" s="116"/>
      <c r="D89" s="120"/>
      <c r="E89" s="117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47"/>
    </row>
    <row r="90" spans="1:15" ht="21.75" hidden="1" customHeight="1" outlineLevel="1" x14ac:dyDescent="0.25">
      <c r="A90" s="109" t="s">
        <v>38</v>
      </c>
      <c r="B90" s="112" t="s">
        <v>39</v>
      </c>
      <c r="C90" s="115" t="s">
        <v>11</v>
      </c>
      <c r="D90" s="118" t="s">
        <v>27</v>
      </c>
      <c r="E90" s="115" t="s">
        <v>153</v>
      </c>
      <c r="F90" s="12" t="s">
        <v>14</v>
      </c>
      <c r="G90" s="22">
        <f t="shared" ref="G90:M90" si="26">G91+G92+G93</f>
        <v>0</v>
      </c>
      <c r="H90" s="22">
        <f t="shared" si="26"/>
        <v>0</v>
      </c>
      <c r="I90" s="22">
        <f t="shared" si="26"/>
        <v>0</v>
      </c>
      <c r="J90" s="48">
        <f t="shared" si="26"/>
        <v>0</v>
      </c>
      <c r="K90" s="22">
        <f t="shared" si="26"/>
        <v>0</v>
      </c>
      <c r="L90" s="22">
        <f>L91+L92+L93</f>
        <v>0</v>
      </c>
      <c r="M90" s="22">
        <f t="shared" si="26"/>
        <v>0</v>
      </c>
      <c r="N90" s="147"/>
    </row>
    <row r="91" spans="1:15" ht="21.75" hidden="1" customHeight="1" outlineLevel="1" x14ac:dyDescent="0.25">
      <c r="A91" s="110"/>
      <c r="B91" s="113"/>
      <c r="C91" s="116"/>
      <c r="D91" s="119"/>
      <c r="E91" s="116"/>
      <c r="F91" s="12" t="s">
        <v>133</v>
      </c>
      <c r="G91" s="22">
        <f>H91+I91+J91+K91+M91</f>
        <v>0</v>
      </c>
      <c r="H91" s="22">
        <v>0</v>
      </c>
      <c r="I91" s="22">
        <v>0</v>
      </c>
      <c r="J91" s="48">
        <v>0</v>
      </c>
      <c r="K91" s="22">
        <v>0</v>
      </c>
      <c r="L91" s="22">
        <v>0</v>
      </c>
      <c r="M91" s="22">
        <v>0</v>
      </c>
      <c r="N91" s="147"/>
    </row>
    <row r="92" spans="1:15" ht="21.75" hidden="1" customHeight="1" outlineLevel="1" x14ac:dyDescent="0.25">
      <c r="A92" s="110"/>
      <c r="B92" s="113"/>
      <c r="C92" s="116"/>
      <c r="D92" s="119"/>
      <c r="E92" s="116"/>
      <c r="F92" s="12" t="s">
        <v>16</v>
      </c>
      <c r="G92" s="22">
        <f>H92+I92+J92+K92+M92</f>
        <v>0</v>
      </c>
      <c r="H92" s="22">
        <v>0</v>
      </c>
      <c r="I92" s="22">
        <v>0</v>
      </c>
      <c r="J92" s="48">
        <v>0</v>
      </c>
      <c r="K92" s="22">
        <v>0</v>
      </c>
      <c r="L92" s="22">
        <v>0</v>
      </c>
      <c r="M92" s="22">
        <v>0</v>
      </c>
      <c r="N92" s="147"/>
    </row>
    <row r="93" spans="1:15" ht="21.75" hidden="1" customHeight="1" outlineLevel="1" x14ac:dyDescent="0.25">
      <c r="A93" s="111"/>
      <c r="B93" s="114"/>
      <c r="C93" s="116"/>
      <c r="D93" s="120"/>
      <c r="E93" s="117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47"/>
    </row>
    <row r="94" spans="1:15" ht="21.75" hidden="1" customHeight="1" outlineLevel="1" x14ac:dyDescent="0.25">
      <c r="A94" s="109" t="s">
        <v>46</v>
      </c>
      <c r="B94" s="112" t="s">
        <v>47</v>
      </c>
      <c r="C94" s="115" t="s">
        <v>11</v>
      </c>
      <c r="D94" s="118" t="s">
        <v>27</v>
      </c>
      <c r="E94" s="115" t="s">
        <v>153</v>
      </c>
      <c r="F94" s="12" t="s">
        <v>14</v>
      </c>
      <c r="G94" s="22">
        <f t="shared" ref="G94:M94" si="27">G95+G96+G97</f>
        <v>0</v>
      </c>
      <c r="H94" s="22">
        <f t="shared" si="27"/>
        <v>0</v>
      </c>
      <c r="I94" s="22">
        <f t="shared" si="27"/>
        <v>0</v>
      </c>
      <c r="J94" s="22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47"/>
    </row>
    <row r="95" spans="1:15" ht="21.75" hidden="1" customHeight="1" outlineLevel="1" x14ac:dyDescent="0.25">
      <c r="A95" s="110"/>
      <c r="B95" s="113"/>
      <c r="C95" s="116"/>
      <c r="D95" s="119"/>
      <c r="E95" s="116"/>
      <c r="F95" s="12" t="s">
        <v>133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47"/>
    </row>
    <row r="96" spans="1:15" ht="21.75" hidden="1" customHeight="1" outlineLevel="1" x14ac:dyDescent="0.25">
      <c r="A96" s="110"/>
      <c r="B96" s="113"/>
      <c r="C96" s="116"/>
      <c r="D96" s="119"/>
      <c r="E96" s="116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47"/>
      <c r="O96" s="9"/>
    </row>
    <row r="97" spans="1:16" ht="21.75" hidden="1" customHeight="1" outlineLevel="1" x14ac:dyDescent="0.25">
      <c r="A97" s="111"/>
      <c r="B97" s="114"/>
      <c r="C97" s="116"/>
      <c r="D97" s="120"/>
      <c r="E97" s="117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48"/>
    </row>
    <row r="98" spans="1:16" ht="21.75" customHeight="1" collapsed="1" x14ac:dyDescent="0.25">
      <c r="A98" s="177"/>
      <c r="B98" s="180" t="s">
        <v>49</v>
      </c>
      <c r="C98" s="172" t="s">
        <v>11</v>
      </c>
      <c r="D98" s="174" t="s">
        <v>50</v>
      </c>
      <c r="E98" s="172" t="s">
        <v>153</v>
      </c>
      <c r="F98" s="37" t="s">
        <v>14</v>
      </c>
      <c r="G98" s="38">
        <f t="shared" ref="G98:M98" si="28">G99+G100+G101</f>
        <v>509603844.13000011</v>
      </c>
      <c r="H98" s="38">
        <f>H99+H100+H101</f>
        <v>84734080.780000001</v>
      </c>
      <c r="I98" s="38">
        <f>I99+I100+I101</f>
        <v>96308847.780000001</v>
      </c>
      <c r="J98" s="38">
        <f>J99+J100+J101</f>
        <v>101161763.69</v>
      </c>
      <c r="K98" s="38">
        <f t="shared" si="28"/>
        <v>111695933.96000001</v>
      </c>
      <c r="L98" s="38">
        <f>L99+L100+L101</f>
        <v>113265823.39</v>
      </c>
      <c r="M98" s="38">
        <f t="shared" si="28"/>
        <v>115703217.92</v>
      </c>
      <c r="N98" s="184" t="s">
        <v>51</v>
      </c>
    </row>
    <row r="99" spans="1:16" ht="21.75" customHeight="1" x14ac:dyDescent="0.25">
      <c r="A99" s="178"/>
      <c r="B99" s="181"/>
      <c r="C99" s="173"/>
      <c r="D99" s="175"/>
      <c r="E99" s="173"/>
      <c r="F99" s="37" t="s">
        <v>133</v>
      </c>
      <c r="G99" s="38">
        <f>H99+I99+J99+K99+M99</f>
        <v>106965685.47999999</v>
      </c>
      <c r="H99" s="38">
        <f t="shared" ref="H99:M99" si="29">H103+H119+H107+H111+H115+H123</f>
        <v>18875528.780000001</v>
      </c>
      <c r="I99" s="38">
        <f t="shared" si="29"/>
        <v>18939692.490000002</v>
      </c>
      <c r="J99" s="38">
        <f t="shared" si="29"/>
        <v>20821117.829999998</v>
      </c>
      <c r="K99" s="38">
        <f t="shared" si="29"/>
        <v>24910947.189999998</v>
      </c>
      <c r="L99" s="38">
        <f t="shared" si="29"/>
        <v>23414479.190000001</v>
      </c>
      <c r="M99" s="38">
        <f t="shared" si="29"/>
        <v>23418399.190000001</v>
      </c>
      <c r="N99" s="185"/>
    </row>
    <row r="100" spans="1:16" ht="21.75" customHeight="1" x14ac:dyDescent="0.25">
      <c r="A100" s="178"/>
      <c r="B100" s="181"/>
      <c r="C100" s="173"/>
      <c r="D100" s="175"/>
      <c r="E100" s="173"/>
      <c r="F100" s="37" t="s">
        <v>16</v>
      </c>
      <c r="G100" s="38">
        <f>H100+I100+J100+K100+M100</f>
        <v>402638158.6500001</v>
      </c>
      <c r="H100" s="38">
        <f t="shared" ref="H100:M101" si="30">H104+H120+H108+H112+H116+H124</f>
        <v>65858552</v>
      </c>
      <c r="I100" s="38">
        <f t="shared" si="30"/>
        <v>77369155.290000007</v>
      </c>
      <c r="J100" s="38">
        <f t="shared" si="30"/>
        <v>80340645.859999999</v>
      </c>
      <c r="K100" s="38">
        <f t="shared" si="30"/>
        <v>86784986.770000011</v>
      </c>
      <c r="L100" s="38">
        <f t="shared" si="30"/>
        <v>89851344.200000003</v>
      </c>
      <c r="M100" s="38">
        <f t="shared" si="30"/>
        <v>92284818.730000004</v>
      </c>
      <c r="N100" s="185"/>
    </row>
    <row r="101" spans="1:16" ht="21.75" customHeight="1" x14ac:dyDescent="0.25">
      <c r="A101" s="179"/>
      <c r="B101" s="182"/>
      <c r="C101" s="183"/>
      <c r="D101" s="176"/>
      <c r="E101" s="183"/>
      <c r="F101" s="37" t="s">
        <v>17</v>
      </c>
      <c r="G101" s="38">
        <f>H101+I101+J101+K101+M101</f>
        <v>0</v>
      </c>
      <c r="H101" s="38">
        <f t="shared" si="30"/>
        <v>0</v>
      </c>
      <c r="I101" s="38">
        <f t="shared" si="30"/>
        <v>0</v>
      </c>
      <c r="J101" s="38">
        <f t="shared" si="30"/>
        <v>0</v>
      </c>
      <c r="K101" s="38">
        <f t="shared" si="30"/>
        <v>0</v>
      </c>
      <c r="L101" s="38">
        <f t="shared" si="30"/>
        <v>0</v>
      </c>
      <c r="M101" s="38">
        <f t="shared" si="30"/>
        <v>0</v>
      </c>
      <c r="N101" s="185"/>
    </row>
    <row r="102" spans="1:16" ht="21.75" customHeight="1" x14ac:dyDescent="0.25">
      <c r="A102" s="109" t="s">
        <v>18</v>
      </c>
      <c r="B102" s="112" t="s">
        <v>52</v>
      </c>
      <c r="C102" s="115" t="s">
        <v>11</v>
      </c>
      <c r="D102" s="118" t="s">
        <v>42</v>
      </c>
      <c r="E102" s="115" t="s">
        <v>153</v>
      </c>
      <c r="F102" s="12" t="s">
        <v>14</v>
      </c>
      <c r="G102" s="22">
        <f t="shared" ref="G102:M102" si="31">G103+G104+G105</f>
        <v>425095130.77458435</v>
      </c>
      <c r="H102" s="22">
        <f t="shared" si="31"/>
        <v>75848880.460000008</v>
      </c>
      <c r="I102" s="22">
        <f t="shared" si="31"/>
        <v>78759959.739999995</v>
      </c>
      <c r="J102" s="48">
        <f t="shared" si="31"/>
        <v>81872994.930000007</v>
      </c>
      <c r="K102" s="22">
        <f t="shared" si="31"/>
        <v>92767613.449999988</v>
      </c>
      <c r="L102" s="22">
        <f>L103+L104+L105</f>
        <v>94111750.19458437</v>
      </c>
      <c r="M102" s="22">
        <f t="shared" si="31"/>
        <v>95845682.19458437</v>
      </c>
      <c r="N102" s="185"/>
    </row>
    <row r="103" spans="1:16" ht="21.75" customHeight="1" x14ac:dyDescent="0.25">
      <c r="A103" s="110"/>
      <c r="B103" s="113"/>
      <c r="C103" s="116"/>
      <c r="D103" s="119"/>
      <c r="E103" s="116"/>
      <c r="F103" s="12" t="s">
        <v>133</v>
      </c>
      <c r="G103" s="22">
        <f>H103+I103+J103+K103+M103</f>
        <v>92350537.420000002</v>
      </c>
      <c r="H103" s="22">
        <v>17880557.460000001</v>
      </c>
      <c r="I103" s="22">
        <f>15484283.05-117000+1049417.39</f>
        <v>16416700.440000001</v>
      </c>
      <c r="J103" s="48">
        <f>17127247+366899</f>
        <v>17494146</v>
      </c>
      <c r="K103" s="22">
        <f>'[1]Бюджет 2023-2025 МБ, ОБ, ФБ'!$J$52</f>
        <v>21029566.759999998</v>
      </c>
      <c r="L103" s="22">
        <v>19529566.760000002</v>
      </c>
      <c r="M103" s="22">
        <v>19529566.760000002</v>
      </c>
      <c r="N103" s="185"/>
      <c r="O103" s="10"/>
      <c r="P103" s="7"/>
    </row>
    <row r="104" spans="1:16" ht="21.75" customHeight="1" x14ac:dyDescent="0.25">
      <c r="A104" s="110"/>
      <c r="B104" s="113"/>
      <c r="C104" s="116"/>
      <c r="D104" s="119"/>
      <c r="E104" s="116"/>
      <c r="F104" s="12" t="s">
        <v>16</v>
      </c>
      <c r="G104" s="22">
        <f>H104+I104+J104+K104+M104</f>
        <v>332744593.35458434</v>
      </c>
      <c r="H104" s="22">
        <f>57968323</f>
        <v>57968323</v>
      </c>
      <c r="I104" s="22">
        <f>62343259.3</f>
        <v>62343259.299999997</v>
      </c>
      <c r="J104" s="48">
        <f>64378848.93</f>
        <v>64378848.93</v>
      </c>
      <c r="K104" s="22">
        <f>'[1]Бюджет 2023-2025 МБ, ОБ, ФБ'!$J$50</f>
        <v>71738046.689999998</v>
      </c>
      <c r="L104" s="22">
        <f>'[1]Бюджет 2023-2025 МБ, ОБ, ФБ'!$Q$50</f>
        <v>74582183.434584364</v>
      </c>
      <c r="M104" s="22">
        <f>'[1]Бюджет 2023-2025 МБ, ОБ, ФБ'!$R$50</f>
        <v>76316115.434584364</v>
      </c>
      <c r="N104" s="185"/>
    </row>
    <row r="105" spans="1:16" ht="21.75" customHeight="1" x14ac:dyDescent="0.25">
      <c r="A105" s="111"/>
      <c r="B105" s="114"/>
      <c r="C105" s="116"/>
      <c r="D105" s="120"/>
      <c r="E105" s="117"/>
      <c r="F105" s="12" t="s">
        <v>17</v>
      </c>
      <c r="G105" s="22">
        <f>H105+I105+J105+K105+M105</f>
        <v>0</v>
      </c>
      <c r="H105" s="22">
        <v>0</v>
      </c>
      <c r="I105" s="22">
        <v>0</v>
      </c>
      <c r="J105" s="48">
        <v>0</v>
      </c>
      <c r="K105" s="22">
        <v>0</v>
      </c>
      <c r="L105" s="22">
        <v>0</v>
      </c>
      <c r="M105" s="22">
        <v>0</v>
      </c>
      <c r="N105" s="185"/>
    </row>
    <row r="106" spans="1:16" ht="21.75" customHeight="1" outlineLevel="1" x14ac:dyDescent="0.25">
      <c r="A106" s="109" t="s">
        <v>25</v>
      </c>
      <c r="B106" s="112" t="s">
        <v>109</v>
      </c>
      <c r="C106" s="115" t="s">
        <v>11</v>
      </c>
      <c r="D106" s="118" t="s">
        <v>42</v>
      </c>
      <c r="E106" s="115" t="s">
        <v>153</v>
      </c>
      <c r="F106" s="12" t="s">
        <v>14</v>
      </c>
      <c r="G106" s="22">
        <f t="shared" ref="G106:M106" si="32">G107+G108+G109</f>
        <v>0</v>
      </c>
      <c r="H106" s="22">
        <f t="shared" si="32"/>
        <v>0</v>
      </c>
      <c r="I106" s="22">
        <f t="shared" si="32"/>
        <v>0</v>
      </c>
      <c r="J106" s="22">
        <f t="shared" si="32"/>
        <v>0</v>
      </c>
      <c r="K106" s="22">
        <f t="shared" si="32"/>
        <v>0</v>
      </c>
      <c r="L106" s="22">
        <f t="shared" si="32"/>
        <v>0</v>
      </c>
      <c r="M106" s="22">
        <f t="shared" si="32"/>
        <v>0</v>
      </c>
      <c r="N106" s="185"/>
    </row>
    <row r="107" spans="1:16" ht="21.75" customHeight="1" outlineLevel="1" x14ac:dyDescent="0.25">
      <c r="A107" s="110"/>
      <c r="B107" s="113"/>
      <c r="C107" s="116"/>
      <c r="D107" s="119"/>
      <c r="E107" s="116"/>
      <c r="F107" s="12" t="s">
        <v>15</v>
      </c>
      <c r="G107" s="22">
        <f>H107+I107+J107+K107+M107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185"/>
    </row>
    <row r="108" spans="1:16" ht="21.75" customHeight="1" outlineLevel="1" x14ac:dyDescent="0.25">
      <c r="A108" s="110"/>
      <c r="B108" s="113"/>
      <c r="C108" s="116"/>
      <c r="D108" s="119"/>
      <c r="E108" s="116"/>
      <c r="F108" s="12" t="s">
        <v>16</v>
      </c>
      <c r="G108" s="22">
        <f>H108+I108+J108+K108+M108</f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185"/>
    </row>
    <row r="109" spans="1:16" ht="21.75" customHeight="1" outlineLevel="1" x14ac:dyDescent="0.25">
      <c r="A109" s="111"/>
      <c r="B109" s="114"/>
      <c r="C109" s="116"/>
      <c r="D109" s="120"/>
      <c r="E109" s="117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185"/>
    </row>
    <row r="110" spans="1:16" ht="21.75" customHeight="1" outlineLevel="1" x14ac:dyDescent="0.25">
      <c r="A110" s="109" t="s">
        <v>44</v>
      </c>
      <c r="B110" s="112" t="s">
        <v>110</v>
      </c>
      <c r="C110" s="115" t="s">
        <v>11</v>
      </c>
      <c r="D110" s="118" t="s">
        <v>42</v>
      </c>
      <c r="E110" s="115" t="s">
        <v>153</v>
      </c>
      <c r="F110" s="12" t="s">
        <v>14</v>
      </c>
      <c r="G110" s="22">
        <f t="shared" ref="G110:M110" si="33">G111+G112+G113</f>
        <v>0</v>
      </c>
      <c r="H110" s="22">
        <f t="shared" si="33"/>
        <v>0</v>
      </c>
      <c r="I110" s="22">
        <f t="shared" si="33"/>
        <v>0</v>
      </c>
      <c r="J110" s="22">
        <f t="shared" si="33"/>
        <v>0</v>
      </c>
      <c r="K110" s="22">
        <f t="shared" si="33"/>
        <v>0</v>
      </c>
      <c r="L110" s="22">
        <f t="shared" si="33"/>
        <v>0</v>
      </c>
      <c r="M110" s="22">
        <f t="shared" si="33"/>
        <v>0</v>
      </c>
      <c r="N110" s="185"/>
    </row>
    <row r="111" spans="1:16" ht="21.75" customHeight="1" outlineLevel="1" x14ac:dyDescent="0.25">
      <c r="A111" s="110"/>
      <c r="B111" s="113"/>
      <c r="C111" s="116"/>
      <c r="D111" s="119"/>
      <c r="E111" s="116"/>
      <c r="F111" s="12" t="s">
        <v>15</v>
      </c>
      <c r="G111" s="23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85"/>
    </row>
    <row r="112" spans="1:16" ht="21.75" customHeight="1" outlineLevel="1" x14ac:dyDescent="0.25">
      <c r="A112" s="110"/>
      <c r="B112" s="113"/>
      <c r="C112" s="116"/>
      <c r="D112" s="119"/>
      <c r="E112" s="116"/>
      <c r="F112" s="12" t="s">
        <v>16</v>
      </c>
      <c r="G112" s="23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85"/>
    </row>
    <row r="113" spans="1:14" ht="21.75" customHeight="1" outlineLevel="1" x14ac:dyDescent="0.25">
      <c r="A113" s="111"/>
      <c r="B113" s="114"/>
      <c r="C113" s="116"/>
      <c r="D113" s="120"/>
      <c r="E113" s="117"/>
      <c r="F113" s="12" t="s">
        <v>17</v>
      </c>
      <c r="G113" s="23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85"/>
    </row>
    <row r="114" spans="1:14" ht="21.75" customHeight="1" x14ac:dyDescent="0.25">
      <c r="A114" s="109" t="s">
        <v>112</v>
      </c>
      <c r="B114" s="121" t="s">
        <v>154</v>
      </c>
      <c r="C114" s="115" t="s">
        <v>11</v>
      </c>
      <c r="D114" s="118" t="s">
        <v>55</v>
      </c>
      <c r="E114" s="115" t="s">
        <v>153</v>
      </c>
      <c r="F114" s="12" t="s">
        <v>14</v>
      </c>
      <c r="G114" s="22">
        <f t="shared" ref="G114:M114" si="34">G115+G116+G117</f>
        <v>62842050.675415635</v>
      </c>
      <c r="H114" s="22">
        <f t="shared" si="34"/>
        <v>4920882.5</v>
      </c>
      <c r="I114" s="22">
        <f t="shared" si="34"/>
        <v>13636058.439999999</v>
      </c>
      <c r="J114" s="48">
        <f t="shared" si="34"/>
        <v>14165280</v>
      </c>
      <c r="K114" s="22">
        <f t="shared" si="34"/>
        <v>14957349.74</v>
      </c>
      <c r="L114" s="22">
        <f t="shared" si="34"/>
        <v>15054579.995415632</v>
      </c>
      <c r="M114" s="22">
        <f t="shared" si="34"/>
        <v>15162479.995415632</v>
      </c>
      <c r="N114" s="185"/>
    </row>
    <row r="115" spans="1:14" ht="21.75" customHeight="1" x14ac:dyDescent="0.25">
      <c r="A115" s="110"/>
      <c r="B115" s="122"/>
      <c r="C115" s="116"/>
      <c r="D115" s="119"/>
      <c r="E115" s="116"/>
      <c r="F115" s="12" t="s">
        <v>15</v>
      </c>
      <c r="G115" s="22">
        <f>H115+I115+J115+K115+M115</f>
        <v>14266347.029999999</v>
      </c>
      <c r="H115" s="22">
        <f>845990.48+96482.96-233.44+4193.5</f>
        <v>946433.5</v>
      </c>
      <c r="I115" s="22">
        <f>2724868.3-76260.5*3-76260.06</f>
        <v>2419826.7399999998</v>
      </c>
      <c r="J115" s="48">
        <v>3245713.93</v>
      </c>
      <c r="K115" s="22">
        <f>'[1]Бюджет 2023-2025 МБ, ОБ, ФБ'!$J$54+543403</f>
        <v>3823460.4299999997</v>
      </c>
      <c r="L115" s="22">
        <f>3280057.43+546935</f>
        <v>3826992.43</v>
      </c>
      <c r="M115" s="22">
        <f>3280057.43+550855</f>
        <v>3830912.43</v>
      </c>
      <c r="N115" s="185"/>
    </row>
    <row r="116" spans="1:14" ht="21.75" customHeight="1" x14ac:dyDescent="0.25">
      <c r="A116" s="110"/>
      <c r="B116" s="122"/>
      <c r="C116" s="116"/>
      <c r="D116" s="119"/>
      <c r="E116" s="116"/>
      <c r="F116" s="12" t="s">
        <v>16</v>
      </c>
      <c r="G116" s="22">
        <f>H116+I116+J116+K116+M116</f>
        <v>48575703.645415634</v>
      </c>
      <c r="H116" s="22">
        <f>3768960+205489</f>
        <v>3974449</v>
      </c>
      <c r="I116" s="22">
        <v>11216231.699999999</v>
      </c>
      <c r="J116" s="48">
        <v>10919566.07</v>
      </c>
      <c r="K116" s="22">
        <f>'[1]Бюджет 2023-2025 МБ, ОБ, ФБ'!$J$51</f>
        <v>11133889.310000001</v>
      </c>
      <c r="L116" s="22">
        <f>'[1]Бюджет 2023-2025 МБ, ОБ, ФБ'!$Q$51</f>
        <v>11227587.565415632</v>
      </c>
      <c r="M116" s="22">
        <f>'[1]Бюджет 2023-2025 МБ, ОБ, ФБ'!$R$51</f>
        <v>11331567.565415632</v>
      </c>
      <c r="N116" s="185"/>
    </row>
    <row r="117" spans="1:14" ht="21.75" customHeight="1" x14ac:dyDescent="0.25">
      <c r="A117" s="111"/>
      <c r="B117" s="123"/>
      <c r="C117" s="116"/>
      <c r="D117" s="120"/>
      <c r="E117" s="117"/>
      <c r="F117" s="12" t="s">
        <v>17</v>
      </c>
      <c r="G117" s="22">
        <f>H117+I117+J117+K117+M117</f>
        <v>0</v>
      </c>
      <c r="H117" s="22">
        <v>0</v>
      </c>
      <c r="I117" s="22">
        <v>0</v>
      </c>
      <c r="J117" s="48">
        <v>0</v>
      </c>
      <c r="K117" s="22">
        <v>0</v>
      </c>
      <c r="L117" s="22">
        <v>0</v>
      </c>
      <c r="M117" s="22">
        <v>0</v>
      </c>
      <c r="N117" s="185"/>
    </row>
    <row r="118" spans="1:14" ht="21.75" customHeight="1" x14ac:dyDescent="0.25">
      <c r="A118" s="109" t="s">
        <v>128</v>
      </c>
      <c r="B118" s="121" t="s">
        <v>22</v>
      </c>
      <c r="C118" s="115" t="s">
        <v>11</v>
      </c>
      <c r="D118" s="118" t="s">
        <v>42</v>
      </c>
      <c r="E118" s="115" t="s">
        <v>153</v>
      </c>
      <c r="F118" s="12" t="s">
        <v>14</v>
      </c>
      <c r="G118" s="22">
        <f t="shared" ref="G118:M118" si="35">G119+G120+G121</f>
        <v>348801.03</v>
      </c>
      <c r="H118" s="22">
        <f t="shared" si="35"/>
        <v>48537.82</v>
      </c>
      <c r="I118" s="22">
        <f t="shared" si="35"/>
        <v>103165.31</v>
      </c>
      <c r="J118" s="48">
        <f t="shared" si="35"/>
        <v>81257.899999999994</v>
      </c>
      <c r="K118" s="22">
        <f t="shared" si="35"/>
        <v>57920</v>
      </c>
      <c r="L118" s="22">
        <f>L119+L120+L121</f>
        <v>57920</v>
      </c>
      <c r="M118" s="22">
        <f t="shared" si="35"/>
        <v>57920</v>
      </c>
      <c r="N118" s="185"/>
    </row>
    <row r="119" spans="1:14" ht="21.75" customHeight="1" x14ac:dyDescent="0.25">
      <c r="A119" s="110"/>
      <c r="B119" s="122"/>
      <c r="C119" s="116"/>
      <c r="D119" s="119"/>
      <c r="E119" s="116"/>
      <c r="F119" s="12" t="s">
        <v>133</v>
      </c>
      <c r="G119" s="22">
        <f>H119+I119+J119+K119+M119</f>
        <v>348801.03</v>
      </c>
      <c r="H119" s="22">
        <f>48538-0.18</f>
        <v>48537.82</v>
      </c>
      <c r="I119" s="22">
        <f>94165.31+9000</f>
        <v>103165.31</v>
      </c>
      <c r="J119" s="48">
        <v>81257.899999999994</v>
      </c>
      <c r="K119" s="22">
        <f>'[1]Бюджет 2023-2025 МБ, ОБ, ФБ'!$J$53</f>
        <v>57920</v>
      </c>
      <c r="L119" s="22">
        <v>57920</v>
      </c>
      <c r="M119" s="22">
        <v>57920</v>
      </c>
      <c r="N119" s="185"/>
    </row>
    <row r="120" spans="1:14" ht="21.75" customHeight="1" x14ac:dyDescent="0.25">
      <c r="A120" s="110"/>
      <c r="B120" s="122"/>
      <c r="C120" s="116"/>
      <c r="D120" s="119"/>
      <c r="E120" s="116"/>
      <c r="F120" s="12" t="s">
        <v>16</v>
      </c>
      <c r="G120" s="22">
        <f>H120+I120+J120+K120+M120</f>
        <v>0</v>
      </c>
      <c r="H120" s="22">
        <v>0</v>
      </c>
      <c r="I120" s="22">
        <v>0</v>
      </c>
      <c r="J120" s="48">
        <v>0</v>
      </c>
      <c r="K120" s="22">
        <v>0</v>
      </c>
      <c r="L120" s="22">
        <v>0</v>
      </c>
      <c r="M120" s="22">
        <v>0</v>
      </c>
      <c r="N120" s="185"/>
    </row>
    <row r="121" spans="1:14" ht="21.75" customHeight="1" x14ac:dyDescent="0.25">
      <c r="A121" s="111"/>
      <c r="B121" s="123"/>
      <c r="C121" s="116"/>
      <c r="D121" s="120"/>
      <c r="E121" s="117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85"/>
    </row>
    <row r="122" spans="1:14" ht="21.75" customHeight="1" x14ac:dyDescent="0.25">
      <c r="A122" s="109" t="s">
        <v>144</v>
      </c>
      <c r="B122" s="121" t="s">
        <v>23</v>
      </c>
      <c r="C122" s="115" t="s">
        <v>11</v>
      </c>
      <c r="D122" s="118" t="s">
        <v>147</v>
      </c>
      <c r="E122" s="115" t="s">
        <v>153</v>
      </c>
      <c r="F122" s="12" t="s">
        <v>14</v>
      </c>
      <c r="G122" s="22">
        <f t="shared" ref="G122:M122" si="36">G123+G124+G125</f>
        <v>21317861.650000006</v>
      </c>
      <c r="H122" s="22">
        <f t="shared" si="36"/>
        <v>3915780</v>
      </c>
      <c r="I122" s="22">
        <f t="shared" si="36"/>
        <v>3809664.29</v>
      </c>
      <c r="J122" s="48">
        <f t="shared" si="36"/>
        <v>5042230.8599999994</v>
      </c>
      <c r="K122" s="22">
        <f t="shared" si="36"/>
        <v>3913050.7700000033</v>
      </c>
      <c r="L122" s="22">
        <f>L123+L124+L125</f>
        <v>4041573.200000003</v>
      </c>
      <c r="M122" s="22">
        <f t="shared" si="36"/>
        <v>4637135.7300000042</v>
      </c>
      <c r="N122" s="185"/>
    </row>
    <row r="123" spans="1:14" ht="21.75" customHeight="1" x14ac:dyDescent="0.25">
      <c r="A123" s="110"/>
      <c r="B123" s="122"/>
      <c r="C123" s="116"/>
      <c r="D123" s="119"/>
      <c r="E123" s="116"/>
      <c r="F123" s="12" t="s">
        <v>133</v>
      </c>
      <c r="G123" s="22">
        <f>H123+I123+J123+K123+M123</f>
        <v>0</v>
      </c>
      <c r="H123" s="22">
        <v>0</v>
      </c>
      <c r="I123" s="22">
        <v>0</v>
      </c>
      <c r="J123" s="48">
        <v>0</v>
      </c>
      <c r="K123" s="22">
        <v>0</v>
      </c>
      <c r="L123" s="22">
        <v>0</v>
      </c>
      <c r="M123" s="22">
        <v>0</v>
      </c>
      <c r="N123" s="185"/>
    </row>
    <row r="124" spans="1:14" ht="21.75" customHeight="1" x14ac:dyDescent="0.25">
      <c r="A124" s="110"/>
      <c r="B124" s="122"/>
      <c r="C124" s="116"/>
      <c r="D124" s="119"/>
      <c r="E124" s="116"/>
      <c r="F124" s="12" t="s">
        <v>16</v>
      </c>
      <c r="G124" s="22">
        <f>H124+I124+J124+K124+M124</f>
        <v>21317861.650000006</v>
      </c>
      <c r="H124" s="22">
        <f>1513280+2402500</f>
        <v>3915780</v>
      </c>
      <c r="I124" s="22">
        <f>1178210+2631454.29</f>
        <v>3809664.29</v>
      </c>
      <c r="J124" s="48">
        <f>'[2]остатки средств в ФК_8'!$R$74+'[2]остатки средств в ФК_8'!$R$16</f>
        <v>5042230.8599999994</v>
      </c>
      <c r="K124" s="22">
        <f>'[1]Бюджет 2023-2025 МБ, ОБ, ФБ'!$J$49+'[1]Бюджет 2023-2025 МБ, ОБ, ФБ'!$J$86</f>
        <v>3913050.7700000033</v>
      </c>
      <c r="L124" s="22">
        <f>'[1]Бюджет 2023-2025 МБ, ОБ, ФБ'!$Q$86+'[1]Бюджет 2023-2025 МБ, ОБ, ФБ'!$Q$49</f>
        <v>4041573.200000003</v>
      </c>
      <c r="M124" s="22">
        <f>'[1]Бюджет 2023-2025 МБ, ОБ, ФБ'!$R$49+'[1]Бюджет 2023-2025 МБ, ОБ, ФБ'!$R$86</f>
        <v>4637135.7300000042</v>
      </c>
      <c r="N124" s="185"/>
    </row>
    <row r="125" spans="1:14" ht="21.75" customHeight="1" x14ac:dyDescent="0.25">
      <c r="A125" s="111"/>
      <c r="B125" s="123"/>
      <c r="C125" s="116"/>
      <c r="D125" s="120"/>
      <c r="E125" s="117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85"/>
    </row>
    <row r="126" spans="1:14" ht="21.75" customHeight="1" x14ac:dyDescent="0.25">
      <c r="A126" s="177"/>
      <c r="B126" s="180" t="s">
        <v>57</v>
      </c>
      <c r="C126" s="172" t="s">
        <v>11</v>
      </c>
      <c r="D126" s="174" t="s">
        <v>55</v>
      </c>
      <c r="E126" s="172" t="s">
        <v>153</v>
      </c>
      <c r="F126" s="37" t="s">
        <v>14</v>
      </c>
      <c r="G126" s="38">
        <f t="shared" ref="G126:M126" si="37">G127+G128+G129</f>
        <v>103584915.51731001</v>
      </c>
      <c r="H126" s="38">
        <f>H127+H128+H129</f>
        <v>11501858.800000001</v>
      </c>
      <c r="I126" s="38">
        <f>I127+I128+I129</f>
        <v>20053625.789999999</v>
      </c>
      <c r="J126" s="38">
        <f>J127+J128+J129</f>
        <v>23607892.009999998</v>
      </c>
      <c r="K126" s="38">
        <f t="shared" si="37"/>
        <v>26148010.909620002</v>
      </c>
      <c r="L126" s="38">
        <f>L127+L128+L129</f>
        <v>22964025.711240001</v>
      </c>
      <c r="M126" s="38">
        <f t="shared" si="37"/>
        <v>22273528.007690001</v>
      </c>
      <c r="N126" s="146"/>
    </row>
    <row r="127" spans="1:14" ht="21.75" customHeight="1" x14ac:dyDescent="0.25">
      <c r="A127" s="178"/>
      <c r="B127" s="181"/>
      <c r="C127" s="173"/>
      <c r="D127" s="175"/>
      <c r="E127" s="173"/>
      <c r="F127" s="37" t="s">
        <v>133</v>
      </c>
      <c r="G127" s="38">
        <f>H127+I127+J127+K127+M127</f>
        <v>20818843.08492</v>
      </c>
      <c r="H127" s="38">
        <f t="shared" ref="H127:I129" si="38">+H131+H135+H139+H143+H147+H151</f>
        <v>1291281.29</v>
      </c>
      <c r="I127" s="38">
        <f t="shared" si="38"/>
        <v>2153726.31</v>
      </c>
      <c r="J127" s="38">
        <f>+J131+J135+J139+J143+J147+J151+J155</f>
        <v>5780842.8499999996</v>
      </c>
      <c r="K127" s="38">
        <f>+K131+K135+K139+K143+K147+K151+K155</f>
        <v>7104224.1879099999</v>
      </c>
      <c r="L127" s="38">
        <f>+L131+L135+L139+L143+L147+L151+L155</f>
        <v>4489443.82</v>
      </c>
      <c r="M127" s="38">
        <f>+M131+M135+M139+M143+M147+M151+M155</f>
        <v>4488768.4470100002</v>
      </c>
      <c r="N127" s="147"/>
    </row>
    <row r="128" spans="1:14" ht="21.75" customHeight="1" x14ac:dyDescent="0.25">
      <c r="A128" s="178"/>
      <c r="B128" s="181"/>
      <c r="C128" s="173"/>
      <c r="D128" s="175"/>
      <c r="E128" s="173"/>
      <c r="F128" s="37" t="s">
        <v>16</v>
      </c>
      <c r="G128" s="38">
        <f>H128+I128+J128+K128+M128</f>
        <v>15925219.28048791</v>
      </c>
      <c r="H128" s="38">
        <f t="shared" si="38"/>
        <v>3811477.51</v>
      </c>
      <c r="I128" s="38">
        <f t="shared" si="38"/>
        <v>3351399.4800000004</v>
      </c>
      <c r="J128" s="38">
        <f t="shared" ref="J128:M129" si="39">+J132+J136+J140+J144+J148+J152+J156</f>
        <v>2980398.27</v>
      </c>
      <c r="K128" s="38">
        <f t="shared" si="39"/>
        <v>2961424.6798079102</v>
      </c>
      <c r="L128" s="38">
        <f t="shared" si="39"/>
        <v>2903177.7912400002</v>
      </c>
      <c r="M128" s="38">
        <f t="shared" si="39"/>
        <v>2820519.3406800004</v>
      </c>
      <c r="N128" s="147"/>
    </row>
    <row r="129" spans="1:15" ht="21.75" customHeight="1" x14ac:dyDescent="0.25">
      <c r="A129" s="179"/>
      <c r="B129" s="182"/>
      <c r="C129" s="183"/>
      <c r="D129" s="176"/>
      <c r="E129" s="183"/>
      <c r="F129" s="37" t="s">
        <v>17</v>
      </c>
      <c r="G129" s="38">
        <f>H129+I129+J129+K129+M129</f>
        <v>66840853.151902094</v>
      </c>
      <c r="H129" s="38">
        <f t="shared" si="38"/>
        <v>6399100</v>
      </c>
      <c r="I129" s="38">
        <f t="shared" si="38"/>
        <v>14548499.999999998</v>
      </c>
      <c r="J129" s="38">
        <f t="shared" si="39"/>
        <v>14846650.890000001</v>
      </c>
      <c r="K129" s="38">
        <f t="shared" si="39"/>
        <v>16082362.041902091</v>
      </c>
      <c r="L129" s="38">
        <f t="shared" si="39"/>
        <v>15571404.1</v>
      </c>
      <c r="M129" s="38">
        <f t="shared" si="39"/>
        <v>14964240.220000001</v>
      </c>
      <c r="N129" s="147"/>
    </row>
    <row r="130" spans="1:15" ht="21.75" customHeight="1" x14ac:dyDescent="0.25">
      <c r="A130" s="109" t="s">
        <v>78</v>
      </c>
      <c r="B130" s="112" t="s">
        <v>64</v>
      </c>
      <c r="C130" s="115" t="s">
        <v>11</v>
      </c>
      <c r="D130" s="127" t="s">
        <v>65</v>
      </c>
      <c r="E130" s="115" t="s">
        <v>153</v>
      </c>
      <c r="F130" s="12" t="s">
        <v>14</v>
      </c>
      <c r="G130" s="22">
        <f t="shared" ref="G130:M130" si="40">G131+G132+G133</f>
        <v>3240284.2802999998</v>
      </c>
      <c r="H130" s="22">
        <f t="shared" si="40"/>
        <v>547300</v>
      </c>
      <c r="I130" s="22">
        <f t="shared" si="40"/>
        <v>708294.28</v>
      </c>
      <c r="J130" s="22">
        <f t="shared" si="40"/>
        <v>721420</v>
      </c>
      <c r="K130" s="22">
        <f t="shared" si="40"/>
        <v>639899.99962000002</v>
      </c>
      <c r="L130" s="22">
        <f>L131+L132+L133</f>
        <v>638490.00124000001</v>
      </c>
      <c r="M130" s="22">
        <f t="shared" si="40"/>
        <v>623370.00068000006</v>
      </c>
      <c r="N130" s="146" t="s">
        <v>66</v>
      </c>
    </row>
    <row r="131" spans="1:15" ht="21.75" customHeight="1" x14ac:dyDescent="0.25">
      <c r="A131" s="110"/>
      <c r="B131" s="113"/>
      <c r="C131" s="116"/>
      <c r="D131" s="128"/>
      <c r="E131" s="116"/>
      <c r="F131" s="12" t="s">
        <v>133</v>
      </c>
      <c r="G131" s="22">
        <f>H131+I131+J131+K131+M131</f>
        <v>2072394.28</v>
      </c>
      <c r="H131" s="22">
        <v>408000</v>
      </c>
      <c r="I131" s="22">
        <f>433440+44154.28</f>
        <v>477594.28</v>
      </c>
      <c r="J131" s="22">
        <f>526320-61920</f>
        <v>464400</v>
      </c>
      <c r="K131" s="22">
        <f>'[1]Бюджет 2023-2025 местн'!$J$76</f>
        <v>361200</v>
      </c>
      <c r="L131" s="22">
        <v>361200</v>
      </c>
      <c r="M131" s="22">
        <v>361200</v>
      </c>
      <c r="N131" s="147"/>
    </row>
    <row r="132" spans="1:15" ht="21.75" customHeight="1" x14ac:dyDescent="0.25">
      <c r="A132" s="110"/>
      <c r="B132" s="113"/>
      <c r="C132" s="116"/>
      <c r="D132" s="128"/>
      <c r="E132" s="116"/>
      <c r="F132" s="12" t="s">
        <v>16</v>
      </c>
      <c r="G132" s="22">
        <f>H132+I132+J132+K132+M132</f>
        <v>1167890.0003</v>
      </c>
      <c r="H132" s="22">
        <v>139300</v>
      </c>
      <c r="I132" s="22">
        <v>230700</v>
      </c>
      <c r="J132" s="22">
        <v>257020</v>
      </c>
      <c r="K132" s="22">
        <f>'[1]Бюджет 2023-2025 МБ, ОБ, ФБ'!$J$76-'[1]Бюджет 2023-2025 местн'!$J$76</f>
        <v>278699.99962000002</v>
      </c>
      <c r="L132" s="22">
        <f>'[1]Бюджет 2023-2025 МБ, ОБ, ФБ'!$Q$76-'[1]Бюджет 2023-2025 местн'!$Q$76</f>
        <v>277290.00124000001</v>
      </c>
      <c r="M132" s="22">
        <f>'[1]Бюджет 2023-2025 МБ, ОБ, ФБ'!$R$76-'[1]Бюджет 2023-2025 местн'!$R$76</f>
        <v>262170.00068000006</v>
      </c>
      <c r="N132" s="147"/>
    </row>
    <row r="133" spans="1:15" ht="21.75" customHeight="1" x14ac:dyDescent="0.25">
      <c r="A133" s="111"/>
      <c r="B133" s="114"/>
      <c r="C133" s="116"/>
      <c r="D133" s="129"/>
      <c r="E133" s="117"/>
      <c r="F133" s="12" t="s">
        <v>17</v>
      </c>
      <c r="G133" s="22">
        <f>H133+I133+J133+K133+M133</f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148"/>
    </row>
    <row r="134" spans="1:15" ht="21.75" customHeight="1" x14ac:dyDescent="0.25">
      <c r="A134" s="109" t="s">
        <v>81</v>
      </c>
      <c r="B134" s="112" t="s">
        <v>67</v>
      </c>
      <c r="C134" s="115" t="s">
        <v>11</v>
      </c>
      <c r="D134" s="118" t="s">
        <v>147</v>
      </c>
      <c r="E134" s="115" t="s">
        <v>153</v>
      </c>
      <c r="F134" s="12" t="s">
        <v>14</v>
      </c>
      <c r="G134" s="22">
        <f t="shared" ref="G134:M134" si="41">G135+G136+G137</f>
        <v>7492612.9000000004</v>
      </c>
      <c r="H134" s="22">
        <f t="shared" si="41"/>
        <v>104312.9</v>
      </c>
      <c r="I134" s="22">
        <f t="shared" si="41"/>
        <v>1803468</v>
      </c>
      <c r="J134" s="22">
        <f t="shared" si="41"/>
        <v>1803468</v>
      </c>
      <c r="K134" s="22">
        <f t="shared" si="41"/>
        <v>1993788</v>
      </c>
      <c r="L134" s="22">
        <f>L135+L136+L137</f>
        <v>1787576</v>
      </c>
      <c r="M134" s="22">
        <f t="shared" si="41"/>
        <v>1787576</v>
      </c>
      <c r="N134" s="146" t="s">
        <v>68</v>
      </c>
    </row>
    <row r="135" spans="1:15" ht="21.75" customHeight="1" x14ac:dyDescent="0.25">
      <c r="A135" s="110"/>
      <c r="B135" s="113"/>
      <c r="C135" s="116"/>
      <c r="D135" s="119"/>
      <c r="E135" s="116"/>
      <c r="F135" s="12" t="s">
        <v>133</v>
      </c>
      <c r="G135" s="22">
        <f>H135+I135+J135+K135+M135</f>
        <v>3901568.9</v>
      </c>
      <c r="H135" s="22">
        <v>104312.9</v>
      </c>
      <c r="I135" s="22">
        <f>500000+401734</f>
        <v>901734</v>
      </c>
      <c r="J135" s="22">
        <v>901734</v>
      </c>
      <c r="K135" s="22">
        <f>'[1]Бюджет 2023-2025 МБ, ОБ, ФБ'!$J$29+'[1]Бюджет 2023-2025 местн'!$J$31</f>
        <v>1100000</v>
      </c>
      <c r="L135" s="22">
        <v>893788</v>
      </c>
      <c r="M135" s="22">
        <v>893788</v>
      </c>
      <c r="N135" s="147"/>
      <c r="O135" s="11"/>
    </row>
    <row r="136" spans="1:15" ht="21.75" customHeight="1" x14ac:dyDescent="0.25">
      <c r="A136" s="110"/>
      <c r="B136" s="113"/>
      <c r="C136" s="116"/>
      <c r="D136" s="119"/>
      <c r="E136" s="116"/>
      <c r="F136" s="12" t="s">
        <v>16</v>
      </c>
      <c r="G136" s="22">
        <f>H136+I136+J136+K136+M136</f>
        <v>3591044</v>
      </c>
      <c r="H136" s="22"/>
      <c r="I136" s="22">
        <v>901734</v>
      </c>
      <c r="J136" s="22">
        <v>901734</v>
      </c>
      <c r="K136" s="22">
        <f>'[1]Бюджет 2023-2025 МБ, ОБ, ФБ'!$J$30</f>
        <v>893788</v>
      </c>
      <c r="L136" s="22">
        <v>893788</v>
      </c>
      <c r="M136" s="22">
        <v>893788</v>
      </c>
      <c r="N136" s="147"/>
    </row>
    <row r="137" spans="1:15" ht="21.75" customHeight="1" x14ac:dyDescent="0.25">
      <c r="A137" s="111"/>
      <c r="B137" s="114"/>
      <c r="C137" s="116"/>
      <c r="D137" s="120"/>
      <c r="E137" s="117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48"/>
    </row>
    <row r="138" spans="1:15" ht="21.75" customHeight="1" x14ac:dyDescent="0.25">
      <c r="A138" s="109" t="s">
        <v>83</v>
      </c>
      <c r="B138" s="112" t="s">
        <v>69</v>
      </c>
      <c r="C138" s="115" t="s">
        <v>11</v>
      </c>
      <c r="D138" s="118" t="s">
        <v>147</v>
      </c>
      <c r="E138" s="115" t="s">
        <v>153</v>
      </c>
      <c r="F138" s="12" t="s">
        <v>14</v>
      </c>
      <c r="G138" s="22">
        <f t="shared" ref="G138:M138" si="42">G139+G140+G141</f>
        <v>4037679.9699999997</v>
      </c>
      <c r="H138" s="22">
        <f t="shared" si="42"/>
        <v>2568957</v>
      </c>
      <c r="I138" s="22">
        <f t="shared" si="42"/>
        <v>1360722.97</v>
      </c>
      <c r="J138" s="22">
        <f t="shared" si="42"/>
        <v>0</v>
      </c>
      <c r="K138" s="22">
        <f t="shared" si="42"/>
        <v>108000</v>
      </c>
      <c r="L138" s="22">
        <f>L139+L140+L141</f>
        <v>0</v>
      </c>
      <c r="M138" s="22">
        <f t="shared" si="42"/>
        <v>0</v>
      </c>
      <c r="N138" s="146" t="s">
        <v>70</v>
      </c>
    </row>
    <row r="139" spans="1:15" ht="21.75" customHeight="1" x14ac:dyDescent="0.25">
      <c r="A139" s="110"/>
      <c r="B139" s="113"/>
      <c r="C139" s="116"/>
      <c r="D139" s="119"/>
      <c r="E139" s="116"/>
      <c r="F139" s="12" t="s">
        <v>133</v>
      </c>
      <c r="G139" s="22">
        <f>H139+I139+J139+K139+M139</f>
        <v>1636903.99</v>
      </c>
      <c r="H139" s="22">
        <v>770687.1</v>
      </c>
      <c r="I139" s="22">
        <f>670000-411783.11+500000</f>
        <v>758216.89</v>
      </c>
      <c r="J139" s="22">
        <f>257165-257165</f>
        <v>0</v>
      </c>
      <c r="K139" s="22">
        <v>108000</v>
      </c>
      <c r="L139" s="22">
        <v>0</v>
      </c>
      <c r="M139" s="22">
        <v>0</v>
      </c>
      <c r="N139" s="147"/>
      <c r="O139" s="11"/>
    </row>
    <row r="140" spans="1:15" ht="21.75" customHeight="1" x14ac:dyDescent="0.25">
      <c r="A140" s="110"/>
      <c r="B140" s="113"/>
      <c r="C140" s="116"/>
      <c r="D140" s="119"/>
      <c r="E140" s="116"/>
      <c r="F140" s="12" t="s">
        <v>16</v>
      </c>
      <c r="G140" s="22">
        <f>H140+I140+J140+K140+M140</f>
        <v>2400775.98</v>
      </c>
      <c r="H140" s="22">
        <v>1798269.9</v>
      </c>
      <c r="I140" s="22">
        <v>602506.07999999996</v>
      </c>
      <c r="J140" s="22">
        <f>600051-600051</f>
        <v>0</v>
      </c>
      <c r="K140" s="22">
        <v>0</v>
      </c>
      <c r="L140" s="22">
        <v>0</v>
      </c>
      <c r="M140" s="22">
        <v>0</v>
      </c>
      <c r="N140" s="147"/>
    </row>
    <row r="141" spans="1:15" ht="21.75" customHeight="1" x14ac:dyDescent="0.25">
      <c r="A141" s="111"/>
      <c r="B141" s="114"/>
      <c r="C141" s="116"/>
      <c r="D141" s="120"/>
      <c r="E141" s="117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48"/>
    </row>
    <row r="142" spans="1:15" ht="21.75" customHeight="1" x14ac:dyDescent="0.25">
      <c r="A142" s="109" t="s">
        <v>120</v>
      </c>
      <c r="B142" s="112" t="s">
        <v>72</v>
      </c>
      <c r="C142" s="115" t="s">
        <v>11</v>
      </c>
      <c r="D142" s="118" t="s">
        <v>42</v>
      </c>
      <c r="E142" s="115" t="s">
        <v>153</v>
      </c>
      <c r="F142" s="12" t="s">
        <v>14</v>
      </c>
      <c r="G142" s="22">
        <f t="shared" ref="G142:M142" si="43">G143+G144+G145</f>
        <v>75511436.727010012</v>
      </c>
      <c r="H142" s="22">
        <f t="shared" si="43"/>
        <v>8281288.9000000004</v>
      </c>
      <c r="I142" s="22">
        <f t="shared" si="43"/>
        <v>16181140.539999999</v>
      </c>
      <c r="J142" s="22">
        <f t="shared" si="43"/>
        <v>16514372.370000001</v>
      </c>
      <c r="K142" s="22">
        <f t="shared" si="43"/>
        <v>17889187.91</v>
      </c>
      <c r="L142" s="22">
        <f>L143+L144+L145</f>
        <v>17320824.710000001</v>
      </c>
      <c r="M142" s="22">
        <f t="shared" si="43"/>
        <v>16645447.007010002</v>
      </c>
      <c r="N142" s="146" t="s">
        <v>73</v>
      </c>
    </row>
    <row r="143" spans="1:15" ht="21.75" customHeight="1" x14ac:dyDescent="0.25">
      <c r="A143" s="110"/>
      <c r="B143" s="113"/>
      <c r="C143" s="116"/>
      <c r="D143" s="119"/>
      <c r="E143" s="116"/>
      <c r="F143" s="12" t="s">
        <v>133</v>
      </c>
      <c r="G143" s="22">
        <f>H143+I143+J143+K143+M143</f>
        <v>77079.274919999996</v>
      </c>
      <c r="H143" s="22">
        <v>8281.2900000000009</v>
      </c>
      <c r="I143" s="22">
        <v>16181.139999999996</v>
      </c>
      <c r="J143" s="48">
        <f>17660.82+421.39</f>
        <v>18082.21</v>
      </c>
      <c r="K143" s="48">
        <f>'[5]01.09.2023 по 31.12.2023'!$AB$29</f>
        <v>17889.187910000001</v>
      </c>
      <c r="L143" s="48">
        <v>17320.82</v>
      </c>
      <c r="M143" s="48">
        <f>'[5]01.09.2023 по 31.12.2023'!$AN$29</f>
        <v>16645.44701</v>
      </c>
      <c r="N143" s="147"/>
    </row>
    <row r="144" spans="1:15" ht="21.75" customHeight="1" x14ac:dyDescent="0.25">
      <c r="A144" s="110"/>
      <c r="B144" s="113"/>
      <c r="C144" s="116"/>
      <c r="D144" s="119"/>
      <c r="E144" s="116"/>
      <c r="F144" s="12" t="s">
        <v>16</v>
      </c>
      <c r="G144" s="22">
        <f>H144+I144+J144+K144+M144</f>
        <v>8593504.30018791</v>
      </c>
      <c r="H144" s="22">
        <f>1873906.61+1</f>
        <v>1873907.61</v>
      </c>
      <c r="I144" s="22">
        <v>1616459.4000000001</v>
      </c>
      <c r="J144" s="48">
        <f>'[4]остатки средств в ФК_3'!$AH$112</f>
        <v>1649639.27</v>
      </c>
      <c r="K144" s="48">
        <f>'[5]01.09.2023 по 31.12.2023'!$AA$29</f>
        <v>1788936.6801879103</v>
      </c>
      <c r="L144" s="48">
        <v>1732099.79</v>
      </c>
      <c r="M144" s="48">
        <v>1664561.34</v>
      </c>
      <c r="N144" s="147"/>
    </row>
    <row r="145" spans="1:14" ht="21.75" customHeight="1" x14ac:dyDescent="0.25">
      <c r="A145" s="111"/>
      <c r="B145" s="114"/>
      <c r="C145" s="116"/>
      <c r="D145" s="120"/>
      <c r="E145" s="117"/>
      <c r="F145" s="12" t="s">
        <v>17</v>
      </c>
      <c r="G145" s="22">
        <f>H145+I145+J145+K145+M145</f>
        <v>66840853.151902094</v>
      </c>
      <c r="H145" s="22">
        <v>6399100</v>
      </c>
      <c r="I145" s="22">
        <v>14548499.999999998</v>
      </c>
      <c r="J145" s="48">
        <f>'[4]остатки средств в ФК_3'!$AG$112</f>
        <v>14846650.890000001</v>
      </c>
      <c r="K145" s="48">
        <f>'[5]01.09.2023 по 31.12.2023'!$Z$29</f>
        <v>16082362.041902091</v>
      </c>
      <c r="L145" s="48">
        <v>15571404.1</v>
      </c>
      <c r="M145" s="48">
        <v>14964240.220000001</v>
      </c>
      <c r="N145" s="148"/>
    </row>
    <row r="146" spans="1:14" ht="21.75" customHeight="1" x14ac:dyDescent="0.25">
      <c r="A146" s="109" t="s">
        <v>86</v>
      </c>
      <c r="B146" s="112" t="s">
        <v>74</v>
      </c>
      <c r="C146" s="115" t="s">
        <v>11</v>
      </c>
      <c r="D146" s="118" t="s">
        <v>42</v>
      </c>
      <c r="E146" s="115" t="s">
        <v>153</v>
      </c>
      <c r="F146" s="12" t="s">
        <v>14</v>
      </c>
      <c r="G146" s="22">
        <f t="shared" ref="G146:M146" si="44">G147+G148+G149</f>
        <v>9023725.1500000004</v>
      </c>
      <c r="H146" s="22">
        <f t="shared" si="44"/>
        <v>0</v>
      </c>
      <c r="I146" s="22">
        <f t="shared" si="44"/>
        <v>0</v>
      </c>
      <c r="J146" s="22">
        <f t="shared" si="44"/>
        <v>2749897.15</v>
      </c>
      <c r="K146" s="22">
        <f t="shared" si="44"/>
        <v>3886914</v>
      </c>
      <c r="L146" s="22">
        <f>L147+L148+L149</f>
        <v>2386914</v>
      </c>
      <c r="M146" s="22">
        <f t="shared" si="44"/>
        <v>2386914</v>
      </c>
      <c r="N146" s="146" t="s">
        <v>75</v>
      </c>
    </row>
    <row r="147" spans="1:14" ht="21.75" customHeight="1" x14ac:dyDescent="0.25">
      <c r="A147" s="110"/>
      <c r="B147" s="113"/>
      <c r="C147" s="116"/>
      <c r="D147" s="119"/>
      <c r="E147" s="116"/>
      <c r="F147" s="12" t="s">
        <v>133</v>
      </c>
      <c r="G147" s="22">
        <f>H147+I147+J147+K147+M147</f>
        <v>9023725.1500000004</v>
      </c>
      <c r="H147" s="22"/>
      <c r="I147" s="22"/>
      <c r="J147" s="22">
        <v>2749897.15</v>
      </c>
      <c r="K147" s="22">
        <f>'[1]Бюджет 2023-2025 МБ, ОБ, ФБ'!$J$14</f>
        <v>3886914</v>
      </c>
      <c r="L147" s="22">
        <v>2386914</v>
      </c>
      <c r="M147" s="22">
        <v>2386914</v>
      </c>
      <c r="N147" s="147"/>
    </row>
    <row r="148" spans="1:14" ht="21.75" customHeight="1" x14ac:dyDescent="0.25">
      <c r="A148" s="110"/>
      <c r="B148" s="113"/>
      <c r="C148" s="116"/>
      <c r="D148" s="119"/>
      <c r="E148" s="116"/>
      <c r="F148" s="12" t="s">
        <v>16</v>
      </c>
      <c r="G148" s="22">
        <f>H148+I148+J148+K148+M148</f>
        <v>0</v>
      </c>
      <c r="H148" s="22"/>
      <c r="I148" s="22"/>
      <c r="J148" s="22">
        <v>0</v>
      </c>
      <c r="K148" s="22">
        <v>0</v>
      </c>
      <c r="L148" s="22">
        <v>0</v>
      </c>
      <c r="M148" s="22">
        <v>0</v>
      </c>
      <c r="N148" s="147"/>
    </row>
    <row r="149" spans="1:14" ht="21.75" customHeight="1" x14ac:dyDescent="0.25">
      <c r="A149" s="111"/>
      <c r="B149" s="114"/>
      <c r="C149" s="116"/>
      <c r="D149" s="120"/>
      <c r="E149" s="117"/>
      <c r="F149" s="12" t="s">
        <v>17</v>
      </c>
      <c r="G149" s="22">
        <f>H149+I149+J149+K149+M149</f>
        <v>0</v>
      </c>
      <c r="H149" s="22"/>
      <c r="I149" s="22"/>
      <c r="J149" s="22">
        <v>0</v>
      </c>
      <c r="K149" s="22">
        <v>0</v>
      </c>
      <c r="L149" s="22">
        <v>0</v>
      </c>
      <c r="M149" s="22">
        <v>0</v>
      </c>
      <c r="N149" s="148"/>
    </row>
    <row r="150" spans="1:14" ht="21.75" customHeight="1" x14ac:dyDescent="0.25">
      <c r="A150" s="109" t="s">
        <v>121</v>
      </c>
      <c r="B150" s="112" t="s">
        <v>76</v>
      </c>
      <c r="C150" s="115" t="s">
        <v>11</v>
      </c>
      <c r="D150" s="118" t="s">
        <v>42</v>
      </c>
      <c r="E150" s="115" t="s">
        <v>153</v>
      </c>
      <c r="F150" s="12" t="s">
        <v>14</v>
      </c>
      <c r="G150" s="22">
        <f t="shared" ref="G150:M150" si="45">G151+G152+G153</f>
        <v>4107171.49</v>
      </c>
      <c r="H150" s="22">
        <f t="shared" si="45"/>
        <v>0</v>
      </c>
      <c r="I150" s="22">
        <f t="shared" si="45"/>
        <v>0</v>
      </c>
      <c r="J150" s="22">
        <f t="shared" si="45"/>
        <v>1646729.49</v>
      </c>
      <c r="K150" s="22">
        <f t="shared" si="45"/>
        <v>1630221</v>
      </c>
      <c r="L150" s="22">
        <f>L151+L152+L153</f>
        <v>830221</v>
      </c>
      <c r="M150" s="22">
        <f t="shared" si="45"/>
        <v>830221</v>
      </c>
      <c r="N150" s="146" t="s">
        <v>77</v>
      </c>
    </row>
    <row r="151" spans="1:14" ht="21.75" customHeight="1" x14ac:dyDescent="0.25">
      <c r="A151" s="110"/>
      <c r="B151" s="113"/>
      <c r="C151" s="116"/>
      <c r="D151" s="119"/>
      <c r="E151" s="116"/>
      <c r="F151" s="12" t="s">
        <v>133</v>
      </c>
      <c r="G151" s="22">
        <f>H151+I151+J151+K151+M151</f>
        <v>4107171.49</v>
      </c>
      <c r="H151" s="22"/>
      <c r="I151" s="22"/>
      <c r="J151" s="22">
        <v>1646729.49</v>
      </c>
      <c r="K151" s="22">
        <f>'[1]Бюджет 2023-2025 МБ, ОБ, ФБ'!$J$32</f>
        <v>1630221</v>
      </c>
      <c r="L151" s="22">
        <v>830221</v>
      </c>
      <c r="M151" s="22">
        <v>830221</v>
      </c>
      <c r="N151" s="147"/>
    </row>
    <row r="152" spans="1:14" ht="21.75" customHeight="1" x14ac:dyDescent="0.25">
      <c r="A152" s="110"/>
      <c r="B152" s="113"/>
      <c r="C152" s="116"/>
      <c r="D152" s="119"/>
      <c r="E152" s="116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47"/>
    </row>
    <row r="153" spans="1:14" ht="21.75" customHeight="1" x14ac:dyDescent="0.25">
      <c r="A153" s="111"/>
      <c r="B153" s="114"/>
      <c r="C153" s="116"/>
      <c r="D153" s="120"/>
      <c r="E153" s="117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48"/>
    </row>
    <row r="154" spans="1:14" ht="21.75" customHeight="1" x14ac:dyDescent="0.25">
      <c r="A154" s="109" t="s">
        <v>89</v>
      </c>
      <c r="B154" s="133" t="s">
        <v>136</v>
      </c>
      <c r="C154" s="136" t="s">
        <v>11</v>
      </c>
      <c r="D154" s="138" t="s">
        <v>42</v>
      </c>
      <c r="E154" s="136" t="s">
        <v>153</v>
      </c>
      <c r="F154" s="49" t="s">
        <v>14</v>
      </c>
      <c r="G154" s="48">
        <f t="shared" ref="G154:M154" si="46">G155+G156+G157</f>
        <v>172005</v>
      </c>
      <c r="H154" s="48">
        <f t="shared" si="46"/>
        <v>0</v>
      </c>
      <c r="I154" s="48">
        <f t="shared" si="46"/>
        <v>0</v>
      </c>
      <c r="J154" s="48">
        <f t="shared" si="46"/>
        <v>172005</v>
      </c>
      <c r="K154" s="48">
        <f t="shared" si="46"/>
        <v>0</v>
      </c>
      <c r="L154" s="48">
        <f t="shared" si="46"/>
        <v>0</v>
      </c>
      <c r="M154" s="48">
        <f t="shared" si="46"/>
        <v>0</v>
      </c>
      <c r="N154" s="219" t="s">
        <v>137</v>
      </c>
    </row>
    <row r="155" spans="1:14" ht="21.75" customHeight="1" x14ac:dyDescent="0.25">
      <c r="A155" s="110"/>
      <c r="B155" s="134"/>
      <c r="C155" s="137"/>
      <c r="D155" s="139"/>
      <c r="E155" s="137"/>
      <c r="F155" s="49" t="s">
        <v>15</v>
      </c>
      <c r="G155" s="48">
        <f>H155+I155+J155+K155+L155</f>
        <v>0</v>
      </c>
      <c r="H155" s="48"/>
      <c r="I155" s="48"/>
      <c r="J155" s="48">
        <v>0</v>
      </c>
      <c r="K155" s="48">
        <v>0</v>
      </c>
      <c r="L155" s="48">
        <v>0</v>
      </c>
      <c r="M155" s="48">
        <v>0</v>
      </c>
      <c r="N155" s="220"/>
    </row>
    <row r="156" spans="1:14" ht="21.75" customHeight="1" x14ac:dyDescent="0.25">
      <c r="A156" s="110"/>
      <c r="B156" s="134"/>
      <c r="C156" s="137"/>
      <c r="D156" s="139"/>
      <c r="E156" s="137"/>
      <c r="F156" s="49" t="s">
        <v>16</v>
      </c>
      <c r="G156" s="48">
        <f>H156+I156+J156+K156+L156</f>
        <v>172005</v>
      </c>
      <c r="H156" s="48"/>
      <c r="I156" s="48"/>
      <c r="J156" s="48">
        <v>172005</v>
      </c>
      <c r="K156" s="48">
        <v>0</v>
      </c>
      <c r="L156" s="48">
        <v>0</v>
      </c>
      <c r="M156" s="48">
        <v>0</v>
      </c>
      <c r="N156" s="220"/>
    </row>
    <row r="157" spans="1:14" ht="21.75" customHeight="1" x14ac:dyDescent="0.25">
      <c r="A157" s="111"/>
      <c r="B157" s="135"/>
      <c r="C157" s="137"/>
      <c r="D157" s="140"/>
      <c r="E157" s="141"/>
      <c r="F157" s="49" t="s">
        <v>17</v>
      </c>
      <c r="G157" s="48">
        <f>H157+I157+J157+K157+L157</f>
        <v>0</v>
      </c>
      <c r="H157" s="48"/>
      <c r="I157" s="48"/>
      <c r="J157" s="48">
        <v>0</v>
      </c>
      <c r="K157" s="48">
        <v>0</v>
      </c>
      <c r="L157" s="48">
        <v>0</v>
      </c>
      <c r="M157" s="48">
        <v>0</v>
      </c>
      <c r="N157" s="221"/>
    </row>
    <row r="158" spans="1:14" ht="22.5" customHeight="1" x14ac:dyDescent="0.25">
      <c r="A158" s="153"/>
      <c r="B158" s="186" t="s">
        <v>143</v>
      </c>
      <c r="C158" s="159" t="s">
        <v>11</v>
      </c>
      <c r="D158" s="162" t="s">
        <v>12</v>
      </c>
      <c r="E158" s="159" t="s">
        <v>153</v>
      </c>
      <c r="F158" s="34" t="s">
        <v>14</v>
      </c>
      <c r="G158" s="35">
        <f t="shared" ref="G158:M158" si="47">G159+G160+G161</f>
        <v>297562381.57000005</v>
      </c>
      <c r="H158" s="35">
        <f>H159+H160+H161</f>
        <v>33765416.269999996</v>
      </c>
      <c r="I158" s="35">
        <f>I159+I160+I161</f>
        <v>51849700.129999995</v>
      </c>
      <c r="J158" s="35">
        <f>J159+J160+J161</f>
        <v>175908008.94999999</v>
      </c>
      <c r="K158" s="35">
        <f t="shared" si="47"/>
        <v>30901932.609999999</v>
      </c>
      <c r="L158" s="35">
        <f>L159+L160+L161</f>
        <v>5137323.6100000003</v>
      </c>
      <c r="M158" s="35">
        <f t="shared" si="47"/>
        <v>5137323.6100000003</v>
      </c>
      <c r="N158" s="189"/>
    </row>
    <row r="159" spans="1:14" ht="22.5" customHeight="1" x14ac:dyDescent="0.25">
      <c r="A159" s="154"/>
      <c r="B159" s="187"/>
      <c r="C159" s="160"/>
      <c r="D159" s="163"/>
      <c r="E159" s="160"/>
      <c r="F159" s="34" t="s">
        <v>133</v>
      </c>
      <c r="G159" s="35">
        <f>H159+I159+J159+K159+M159</f>
        <v>60287319.909999996</v>
      </c>
      <c r="H159" s="35">
        <f t="shared" ref="H159:M159" si="48">H163+H191+H203+H207+H195+H199+H215+H219+H211+H167+H179+H171+H175+H183+H187</f>
        <v>11096398.129999999</v>
      </c>
      <c r="I159" s="35">
        <f t="shared" si="48"/>
        <v>13999034.969999999</v>
      </c>
      <c r="J159" s="35">
        <f t="shared" si="48"/>
        <v>16915030.59</v>
      </c>
      <c r="K159" s="35">
        <f t="shared" si="48"/>
        <v>13139532.609999999</v>
      </c>
      <c r="L159" s="35">
        <f t="shared" si="48"/>
        <v>5137323.6100000003</v>
      </c>
      <c r="M159" s="35">
        <f t="shared" si="48"/>
        <v>5137323.6100000003</v>
      </c>
      <c r="N159" s="190"/>
    </row>
    <row r="160" spans="1:14" ht="22.5" customHeight="1" x14ac:dyDescent="0.25">
      <c r="A160" s="154"/>
      <c r="B160" s="187"/>
      <c r="C160" s="160"/>
      <c r="D160" s="163"/>
      <c r="E160" s="160"/>
      <c r="F160" s="34" t="s">
        <v>16</v>
      </c>
      <c r="G160" s="35">
        <f>H160+I160+J160+K160+M160</f>
        <v>78543981.200000003</v>
      </c>
      <c r="H160" s="35">
        <f t="shared" ref="H160:M161" si="49">H164+H192+H204+H208+H196+H200+H216+H220+H212+H168+H180+H172+H176+H184+H188</f>
        <v>19227384.140000001</v>
      </c>
      <c r="I160" s="35">
        <f t="shared" si="49"/>
        <v>17200900.700000003</v>
      </c>
      <c r="J160" s="35">
        <f t="shared" si="49"/>
        <v>24353296.359999999</v>
      </c>
      <c r="K160" s="35">
        <f t="shared" si="49"/>
        <v>17762400</v>
      </c>
      <c r="L160" s="35">
        <f t="shared" si="49"/>
        <v>0</v>
      </c>
      <c r="M160" s="35">
        <f t="shared" si="49"/>
        <v>0</v>
      </c>
      <c r="N160" s="190"/>
    </row>
    <row r="161" spans="1:26" ht="22.5" customHeight="1" x14ac:dyDescent="0.25">
      <c r="A161" s="155"/>
      <c r="B161" s="188"/>
      <c r="C161" s="161"/>
      <c r="D161" s="164"/>
      <c r="E161" s="161"/>
      <c r="F161" s="34" t="s">
        <v>17</v>
      </c>
      <c r="G161" s="35">
        <f>H161+I161+J161+K161+M161</f>
        <v>158731080.46000001</v>
      </c>
      <c r="H161" s="35">
        <f t="shared" si="49"/>
        <v>3441634</v>
      </c>
      <c r="I161" s="35">
        <f t="shared" si="49"/>
        <v>20649764.459999997</v>
      </c>
      <c r="J161" s="35">
        <f t="shared" si="49"/>
        <v>134639682</v>
      </c>
      <c r="K161" s="35">
        <f t="shared" si="49"/>
        <v>0</v>
      </c>
      <c r="L161" s="35">
        <f t="shared" si="49"/>
        <v>0</v>
      </c>
      <c r="M161" s="35">
        <f t="shared" si="49"/>
        <v>0</v>
      </c>
      <c r="N161" s="191"/>
      <c r="Z161" s="3"/>
    </row>
    <row r="162" spans="1:26" ht="21.75" customHeight="1" x14ac:dyDescent="0.25">
      <c r="A162" s="109" t="s">
        <v>18</v>
      </c>
      <c r="B162" s="112" t="s">
        <v>79</v>
      </c>
      <c r="C162" s="115" t="s">
        <v>11</v>
      </c>
      <c r="D162" s="118" t="s">
        <v>42</v>
      </c>
      <c r="E162" s="115" t="s">
        <v>153</v>
      </c>
      <c r="F162" s="12" t="s">
        <v>14</v>
      </c>
      <c r="G162" s="22">
        <f t="shared" ref="G162:M162" si="50">G163+G164+G165</f>
        <v>64368253.679999992</v>
      </c>
      <c r="H162" s="22">
        <f t="shared" si="50"/>
        <v>14048396.27</v>
      </c>
      <c r="I162" s="22">
        <f t="shared" si="50"/>
        <v>23290645.129999999</v>
      </c>
      <c r="J162" s="48">
        <f t="shared" si="50"/>
        <v>10367208.279999999</v>
      </c>
      <c r="K162" s="22">
        <f t="shared" si="50"/>
        <v>16352004</v>
      </c>
      <c r="L162" s="22">
        <f>L163+L164+L165</f>
        <v>310000</v>
      </c>
      <c r="M162" s="22">
        <f t="shared" si="50"/>
        <v>310000</v>
      </c>
      <c r="N162" s="146" t="s">
        <v>148</v>
      </c>
    </row>
    <row r="163" spans="1:26" ht="21.75" customHeight="1" x14ac:dyDescent="0.25">
      <c r="A163" s="110"/>
      <c r="B163" s="113"/>
      <c r="C163" s="116"/>
      <c r="D163" s="119"/>
      <c r="E163" s="116"/>
      <c r="F163" s="12" t="s">
        <v>133</v>
      </c>
      <c r="G163" s="22">
        <f>H163+I163+J163+K163+M163</f>
        <v>25264870.379999995</v>
      </c>
      <c r="H163" s="22">
        <v>4977603.13</v>
      </c>
      <c r="I163" s="22">
        <f>7673601.18+600000+400000-13542.21+500000</f>
        <v>9160058.9699999988</v>
      </c>
      <c r="J163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22">
        <f>450000</f>
        <v>450000</v>
      </c>
      <c r="L163" s="22">
        <f>60000+250000</f>
        <v>310000</v>
      </c>
      <c r="M163" s="22">
        <v>310000</v>
      </c>
      <c r="N163" s="147"/>
      <c r="P163" s="3">
        <f>1759000+1400000+4507295+1195000</f>
        <v>8861295</v>
      </c>
      <c r="Q163" s="3">
        <f>P163-O163</f>
        <v>8861295</v>
      </c>
    </row>
    <row r="164" spans="1:26" ht="21.75" customHeight="1" x14ac:dyDescent="0.25">
      <c r="A164" s="110"/>
      <c r="B164" s="113"/>
      <c r="C164" s="116"/>
      <c r="D164" s="119"/>
      <c r="E164" s="116"/>
      <c r="F164" s="12" t="s">
        <v>16</v>
      </c>
      <c r="G164" s="22">
        <f>H164+I164+J164+K164+M164</f>
        <v>39103383.299999997</v>
      </c>
      <c r="H164" s="22">
        <f>3714220.8+5356572.34</f>
        <v>9070793.1400000006</v>
      </c>
      <c r="I164" s="22">
        <v>14130586.16</v>
      </c>
      <c r="J164" s="48">
        <f>1500000-1500000</f>
        <v>0</v>
      </c>
      <c r="K164" s="22">
        <f>16686400+1076000-1370000-490396</f>
        <v>15902004</v>
      </c>
      <c r="L164" s="22">
        <v>0</v>
      </c>
      <c r="M164" s="22">
        <v>0</v>
      </c>
      <c r="N164" s="147"/>
      <c r="Q164" s="3"/>
    </row>
    <row r="165" spans="1:26" ht="21.75" customHeight="1" x14ac:dyDescent="0.25">
      <c r="A165" s="111"/>
      <c r="B165" s="114"/>
      <c r="C165" s="117"/>
      <c r="D165" s="120"/>
      <c r="E165" s="117"/>
      <c r="F165" s="12" t="s">
        <v>17</v>
      </c>
      <c r="G165" s="22">
        <f>H165+I165+J165+K165+M165</f>
        <v>0</v>
      </c>
      <c r="H165" s="22">
        <v>0</v>
      </c>
      <c r="I165" s="22">
        <v>0</v>
      </c>
      <c r="J165" s="48">
        <v>0</v>
      </c>
      <c r="K165" s="22">
        <v>0</v>
      </c>
      <c r="L165" s="22">
        <v>0</v>
      </c>
      <c r="M165" s="22">
        <v>0</v>
      </c>
      <c r="N165" s="147"/>
      <c r="O165" s="3"/>
    </row>
    <row r="166" spans="1:26" ht="21.75" customHeight="1" x14ac:dyDescent="0.25">
      <c r="A166" s="109" t="s">
        <v>25</v>
      </c>
      <c r="B166" s="112" t="s">
        <v>119</v>
      </c>
      <c r="C166" s="115" t="s">
        <v>11</v>
      </c>
      <c r="D166" s="118" t="s">
        <v>80</v>
      </c>
      <c r="E166" s="115" t="s">
        <v>153</v>
      </c>
      <c r="F166" s="12" t="s">
        <v>14</v>
      </c>
      <c r="G166" s="22">
        <f t="shared" ref="G166:M166" si="51">G167+G168+G169</f>
        <v>164167221.62</v>
      </c>
      <c r="H166" s="22">
        <f t="shared" si="51"/>
        <v>0</v>
      </c>
      <c r="I166" s="22">
        <f t="shared" si="51"/>
        <v>0</v>
      </c>
      <c r="J166" s="48">
        <f t="shared" si="51"/>
        <v>160296473.78</v>
      </c>
      <c r="K166" s="22">
        <f t="shared" si="51"/>
        <v>3870747.84</v>
      </c>
      <c r="L166" s="22">
        <f>L167+L168+L169</f>
        <v>0</v>
      </c>
      <c r="M166" s="22">
        <f t="shared" si="51"/>
        <v>0</v>
      </c>
      <c r="N166" s="147"/>
    </row>
    <row r="167" spans="1:26" ht="21.75" customHeight="1" x14ac:dyDescent="0.25">
      <c r="A167" s="110"/>
      <c r="B167" s="113"/>
      <c r="C167" s="116"/>
      <c r="D167" s="119"/>
      <c r="E167" s="116"/>
      <c r="F167" s="12" t="s">
        <v>133</v>
      </c>
      <c r="G167" s="22">
        <f>H167+I167+J167+K167+M167</f>
        <v>7162202.0599999996</v>
      </c>
      <c r="H167" s="22">
        <v>0</v>
      </c>
      <c r="I167" s="22">
        <v>0</v>
      </c>
      <c r="J167" s="48">
        <v>3291454.2199999997</v>
      </c>
      <c r="K167" s="22">
        <f>337451+3533296.84</f>
        <v>3870747.84</v>
      </c>
      <c r="L167" s="22">
        <v>0</v>
      </c>
      <c r="M167" s="22">
        <v>0</v>
      </c>
      <c r="N167" s="147"/>
      <c r="P167" s="3">
        <f>1759000+1400000+4507295+1195000</f>
        <v>8861295</v>
      </c>
      <c r="Q167" s="3">
        <f>P167-O167</f>
        <v>8861295</v>
      </c>
    </row>
    <row r="168" spans="1:26" ht="21.75" customHeight="1" x14ac:dyDescent="0.25">
      <c r="A168" s="110"/>
      <c r="B168" s="113"/>
      <c r="C168" s="116"/>
      <c r="D168" s="119"/>
      <c r="E168" s="116"/>
      <c r="F168" s="12" t="s">
        <v>16</v>
      </c>
      <c r="G168" s="22">
        <f>H168+I168+J168+K168+M168</f>
        <v>22365337.559999999</v>
      </c>
      <c r="H168" s="22">
        <v>0</v>
      </c>
      <c r="I168" s="22">
        <v>0</v>
      </c>
      <c r="J168" s="48">
        <v>22365337.559999999</v>
      </c>
      <c r="K168" s="22"/>
      <c r="L168" s="22">
        <v>0</v>
      </c>
      <c r="M168" s="22">
        <v>0</v>
      </c>
      <c r="N168" s="147"/>
      <c r="Q168" s="3"/>
    </row>
    <row r="169" spans="1:26" ht="21.75" customHeight="1" x14ac:dyDescent="0.25">
      <c r="A169" s="111"/>
      <c r="B169" s="114"/>
      <c r="C169" s="116"/>
      <c r="D169" s="120"/>
      <c r="E169" s="117"/>
      <c r="F169" s="12" t="s">
        <v>17</v>
      </c>
      <c r="G169" s="22">
        <f>H169+I169+J169+K169+M169</f>
        <v>134639682</v>
      </c>
      <c r="H169" s="22">
        <v>0</v>
      </c>
      <c r="I169" s="22">
        <v>0</v>
      </c>
      <c r="J169" s="48">
        <v>134639682</v>
      </c>
      <c r="K169" s="22">
        <v>0</v>
      </c>
      <c r="L169" s="22">
        <v>0</v>
      </c>
      <c r="M169" s="22">
        <v>0</v>
      </c>
      <c r="N169" s="147"/>
      <c r="O169" s="3"/>
    </row>
    <row r="170" spans="1:26" ht="21.75" customHeight="1" x14ac:dyDescent="0.25">
      <c r="A170" s="109" t="s">
        <v>44</v>
      </c>
      <c r="B170" s="112" t="s">
        <v>59</v>
      </c>
      <c r="C170" s="115" t="s">
        <v>11</v>
      </c>
      <c r="D170" s="127" t="s">
        <v>60</v>
      </c>
      <c r="E170" s="115" t="s">
        <v>153</v>
      </c>
      <c r="F170" s="12" t="s">
        <v>14</v>
      </c>
      <c r="G170" s="22">
        <f t="shared" ref="G170:M170" si="52">G171+G172+G173</f>
        <v>16025521</v>
      </c>
      <c r="H170" s="22">
        <f t="shared" si="52"/>
        <v>12027171</v>
      </c>
      <c r="I170" s="22">
        <f t="shared" si="52"/>
        <v>2498350</v>
      </c>
      <c r="J170" s="22">
        <f t="shared" si="52"/>
        <v>0</v>
      </c>
      <c r="K170" s="22">
        <f t="shared" si="52"/>
        <v>1500000</v>
      </c>
      <c r="L170" s="22">
        <f t="shared" si="52"/>
        <v>0</v>
      </c>
      <c r="M170" s="22">
        <f t="shared" si="52"/>
        <v>0</v>
      </c>
      <c r="N170" s="147"/>
    </row>
    <row r="171" spans="1:26" ht="21.75" customHeight="1" x14ac:dyDescent="0.25">
      <c r="A171" s="110"/>
      <c r="B171" s="113"/>
      <c r="C171" s="116"/>
      <c r="D171" s="128"/>
      <c r="E171" s="116"/>
      <c r="F171" s="12" t="s">
        <v>133</v>
      </c>
      <c r="G171" s="22">
        <f>H171+I171+J171+K171+M171</f>
        <v>2477901</v>
      </c>
      <c r="H171" s="22">
        <v>900000</v>
      </c>
      <c r="I171" s="22">
        <v>77901</v>
      </c>
      <c r="J171" s="22">
        <v>0</v>
      </c>
      <c r="K171" s="22">
        <v>1500000</v>
      </c>
      <c r="L171" s="22">
        <v>0</v>
      </c>
      <c r="M171" s="22">
        <v>0</v>
      </c>
      <c r="N171" s="147"/>
    </row>
    <row r="172" spans="1:26" ht="21.75" customHeight="1" x14ac:dyDescent="0.25">
      <c r="A172" s="110"/>
      <c r="B172" s="113"/>
      <c r="C172" s="116"/>
      <c r="D172" s="128"/>
      <c r="E172" s="116"/>
      <c r="F172" s="12" t="s">
        <v>16</v>
      </c>
      <c r="G172" s="22">
        <f>H172+I172+J172+K172+M172</f>
        <v>9349858.9399999995</v>
      </c>
      <c r="H172" s="22">
        <v>7685537</v>
      </c>
      <c r="I172" s="22">
        <f>464321.94+1200000</f>
        <v>1664321.94</v>
      </c>
      <c r="J172" s="22">
        <v>0</v>
      </c>
      <c r="K172" s="22">
        <v>0</v>
      </c>
      <c r="L172" s="22">
        <v>0</v>
      </c>
      <c r="M172" s="22">
        <v>0</v>
      </c>
      <c r="N172" s="147"/>
    </row>
    <row r="173" spans="1:26" ht="21.75" customHeight="1" x14ac:dyDescent="0.25">
      <c r="A173" s="111"/>
      <c r="B173" s="114"/>
      <c r="C173" s="116"/>
      <c r="D173" s="129"/>
      <c r="E173" s="117"/>
      <c r="F173" s="12" t="s">
        <v>17</v>
      </c>
      <c r="G173" s="22">
        <f>H173+I173+J173+K173+M173</f>
        <v>4197761.0600000005</v>
      </c>
      <c r="H173" s="22">
        <v>3441634</v>
      </c>
      <c r="I173" s="22">
        <v>756127.06</v>
      </c>
      <c r="J173" s="22">
        <v>0</v>
      </c>
      <c r="K173" s="22">
        <v>0</v>
      </c>
      <c r="L173" s="22">
        <v>0</v>
      </c>
      <c r="M173" s="22">
        <v>0</v>
      </c>
      <c r="N173" s="147"/>
    </row>
    <row r="174" spans="1:26" s="31" customFormat="1" ht="21.75" customHeight="1" x14ac:dyDescent="0.3">
      <c r="A174" s="109" t="s">
        <v>78</v>
      </c>
      <c r="B174" s="112" t="s">
        <v>61</v>
      </c>
      <c r="C174" s="115" t="s">
        <v>11</v>
      </c>
      <c r="D174" s="192" t="s">
        <v>62</v>
      </c>
      <c r="E174" s="115" t="s">
        <v>153</v>
      </c>
      <c r="F174" s="12" t="s">
        <v>14</v>
      </c>
      <c r="G174" s="22">
        <f t="shared" ref="G174:M174" si="53">G175+G176+G177</f>
        <v>21151290</v>
      </c>
      <c r="H174" s="22">
        <f t="shared" si="53"/>
        <v>0</v>
      </c>
      <c r="I174" s="22">
        <f t="shared" si="53"/>
        <v>21151290</v>
      </c>
      <c r="J174" s="22">
        <f t="shared" si="53"/>
        <v>0</v>
      </c>
      <c r="K174" s="22">
        <f t="shared" si="53"/>
        <v>0</v>
      </c>
      <c r="L174" s="22">
        <f t="shared" si="53"/>
        <v>0</v>
      </c>
      <c r="M174" s="22">
        <f t="shared" si="53"/>
        <v>0</v>
      </c>
      <c r="N174" s="147"/>
    </row>
    <row r="175" spans="1:26" s="31" customFormat="1" ht="21.75" customHeight="1" x14ac:dyDescent="0.3">
      <c r="A175" s="110"/>
      <c r="B175" s="113"/>
      <c r="C175" s="116"/>
      <c r="D175" s="193"/>
      <c r="E175" s="116"/>
      <c r="F175" s="12" t="s">
        <v>133</v>
      </c>
      <c r="G175" s="22">
        <f>H175+I175+J175+K175+M175</f>
        <v>851660</v>
      </c>
      <c r="H175" s="22">
        <v>0</v>
      </c>
      <c r="I175" s="22">
        <f>20320+351340+480000</f>
        <v>851660</v>
      </c>
      <c r="J175" s="22">
        <v>0</v>
      </c>
      <c r="K175" s="22">
        <v>0</v>
      </c>
      <c r="L175" s="22">
        <v>0</v>
      </c>
      <c r="M175" s="22">
        <v>0</v>
      </c>
      <c r="N175" s="147"/>
      <c r="P175" s="32">
        <f>1759000+1400000+4507295+1195000</f>
        <v>8861295</v>
      </c>
      <c r="Q175" s="32">
        <f>P175-O175</f>
        <v>8861295</v>
      </c>
    </row>
    <row r="176" spans="1:26" s="31" customFormat="1" ht="21.75" customHeight="1" x14ac:dyDescent="0.3">
      <c r="A176" s="110"/>
      <c r="B176" s="113"/>
      <c r="C176" s="116"/>
      <c r="D176" s="193"/>
      <c r="E176" s="116"/>
      <c r="F176" s="12" t="s">
        <v>16</v>
      </c>
      <c r="G176" s="22">
        <f>H176+I176+J176+K176+M176</f>
        <v>405992.6</v>
      </c>
      <c r="H176" s="22">
        <v>0</v>
      </c>
      <c r="I176" s="22">
        <v>405992.6</v>
      </c>
      <c r="J176" s="22">
        <v>0</v>
      </c>
      <c r="K176" s="22">
        <v>0</v>
      </c>
      <c r="L176" s="22">
        <v>0</v>
      </c>
      <c r="M176" s="22">
        <v>0</v>
      </c>
      <c r="N176" s="147"/>
      <c r="Q176" s="32"/>
    </row>
    <row r="177" spans="1:23" s="31" customFormat="1" ht="21.75" customHeight="1" x14ac:dyDescent="0.3">
      <c r="A177" s="111"/>
      <c r="B177" s="114"/>
      <c r="C177" s="117"/>
      <c r="D177" s="194"/>
      <c r="E177" s="117"/>
      <c r="F177" s="12" t="s">
        <v>17</v>
      </c>
      <c r="G177" s="22">
        <f>H177+I177+J177+K177+M177</f>
        <v>19893637.399999999</v>
      </c>
      <c r="H177" s="22">
        <v>0</v>
      </c>
      <c r="I177" s="22">
        <v>19893637.399999999</v>
      </c>
      <c r="J177" s="22">
        <v>0</v>
      </c>
      <c r="K177" s="22">
        <v>0</v>
      </c>
      <c r="L177" s="22">
        <v>0</v>
      </c>
      <c r="M177" s="22">
        <v>0</v>
      </c>
      <c r="N177" s="147"/>
      <c r="O177" s="32"/>
    </row>
    <row r="178" spans="1:23" ht="21.75" customHeight="1" x14ac:dyDescent="0.25">
      <c r="A178" s="109" t="s">
        <v>81</v>
      </c>
      <c r="B178" s="112" t="s">
        <v>58</v>
      </c>
      <c r="C178" s="115" t="s">
        <v>11</v>
      </c>
      <c r="D178" s="127" t="s">
        <v>37</v>
      </c>
      <c r="E178" s="115" t="s">
        <v>153</v>
      </c>
      <c r="F178" s="12" t="s">
        <v>14</v>
      </c>
      <c r="G178" s="22">
        <f t="shared" ref="G178:M178" si="54">G179+G180+G181</f>
        <v>58058</v>
      </c>
      <c r="H178" s="22">
        <f t="shared" si="54"/>
        <v>58058</v>
      </c>
      <c r="I178" s="22">
        <f t="shared" si="54"/>
        <v>0</v>
      </c>
      <c r="J178" s="22">
        <f t="shared" si="54"/>
        <v>0</v>
      </c>
      <c r="K178" s="22">
        <f t="shared" si="54"/>
        <v>0</v>
      </c>
      <c r="L178" s="22">
        <f t="shared" si="54"/>
        <v>0</v>
      </c>
      <c r="M178" s="22">
        <f t="shared" si="54"/>
        <v>0</v>
      </c>
      <c r="N178" s="147"/>
    </row>
    <row r="179" spans="1:23" ht="21.75" customHeight="1" x14ac:dyDescent="0.25">
      <c r="A179" s="110"/>
      <c r="B179" s="113"/>
      <c r="C179" s="116"/>
      <c r="D179" s="128"/>
      <c r="E179" s="116"/>
      <c r="F179" s="12" t="s">
        <v>133</v>
      </c>
      <c r="G179" s="22">
        <f>H179+I179+J179+K179+M179</f>
        <v>58058</v>
      </c>
      <c r="H179" s="22">
        <v>58058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147"/>
    </row>
    <row r="180" spans="1:23" ht="21.75" customHeight="1" x14ac:dyDescent="0.25">
      <c r="A180" s="110"/>
      <c r="B180" s="113"/>
      <c r="C180" s="116"/>
      <c r="D180" s="128"/>
      <c r="E180" s="116"/>
      <c r="F180" s="12" t="s">
        <v>16</v>
      </c>
      <c r="G180" s="22">
        <f>H180+I180+J180+K180+M180</f>
        <v>0</v>
      </c>
      <c r="H180" s="22">
        <v>0</v>
      </c>
      <c r="I180" s="22">
        <v>0</v>
      </c>
      <c r="J180" s="22">
        <v>0</v>
      </c>
      <c r="K180" s="22"/>
      <c r="L180" s="22">
        <v>0</v>
      </c>
      <c r="M180" s="22">
        <v>0</v>
      </c>
      <c r="N180" s="147"/>
    </row>
    <row r="181" spans="1:23" ht="21.75" customHeight="1" x14ac:dyDescent="0.25">
      <c r="A181" s="111"/>
      <c r="B181" s="114"/>
      <c r="C181" s="116"/>
      <c r="D181" s="129"/>
      <c r="E181" s="117"/>
      <c r="F181" s="12" t="s">
        <v>17</v>
      </c>
      <c r="G181" s="22">
        <f>H181+I181+J181+K181+M181</f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147"/>
    </row>
    <row r="182" spans="1:23" ht="21.75" customHeight="1" x14ac:dyDescent="0.25">
      <c r="A182" s="109" t="s">
        <v>83</v>
      </c>
      <c r="B182" s="112" t="s">
        <v>63</v>
      </c>
      <c r="C182" s="115" t="s">
        <v>11</v>
      </c>
      <c r="D182" s="127" t="s">
        <v>37</v>
      </c>
      <c r="E182" s="115" t="s">
        <v>153</v>
      </c>
      <c r="F182" s="12" t="s">
        <v>14</v>
      </c>
      <c r="G182" s="22">
        <f t="shared" ref="G182:M182" si="55">G183+G184+G185</f>
        <v>676415</v>
      </c>
      <c r="H182" s="22">
        <f t="shared" si="55"/>
        <v>0</v>
      </c>
      <c r="I182" s="22">
        <f t="shared" si="55"/>
        <v>676415</v>
      </c>
      <c r="J182" s="22">
        <f t="shared" si="55"/>
        <v>0</v>
      </c>
      <c r="K182" s="22">
        <f t="shared" si="55"/>
        <v>0</v>
      </c>
      <c r="L182" s="22">
        <f t="shared" si="55"/>
        <v>0</v>
      </c>
      <c r="M182" s="22">
        <f t="shared" si="55"/>
        <v>0</v>
      </c>
      <c r="N182" s="147"/>
    </row>
    <row r="183" spans="1:23" ht="21.75" customHeight="1" x14ac:dyDescent="0.25">
      <c r="A183" s="110"/>
      <c r="B183" s="113"/>
      <c r="C183" s="116"/>
      <c r="D183" s="128"/>
      <c r="E183" s="116"/>
      <c r="F183" s="12" t="s">
        <v>133</v>
      </c>
      <c r="G183" s="22">
        <f>H183+I183+J183+K183+M183</f>
        <v>676415</v>
      </c>
      <c r="H183" s="22">
        <v>0</v>
      </c>
      <c r="I183" s="22">
        <v>676415</v>
      </c>
      <c r="J183" s="22">
        <v>0</v>
      </c>
      <c r="K183" s="22">
        <v>0</v>
      </c>
      <c r="L183" s="22">
        <v>0</v>
      </c>
      <c r="M183" s="22">
        <v>0</v>
      </c>
      <c r="N183" s="147"/>
    </row>
    <row r="184" spans="1:23" ht="21.75" customHeight="1" x14ac:dyDescent="0.25">
      <c r="A184" s="110"/>
      <c r="B184" s="113"/>
      <c r="C184" s="116"/>
      <c r="D184" s="128"/>
      <c r="E184" s="116"/>
      <c r="F184" s="12" t="s">
        <v>16</v>
      </c>
      <c r="G184" s="22">
        <f>H184+I184+J184+K184+M184</f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147"/>
    </row>
    <row r="185" spans="1:23" ht="21.75" customHeight="1" x14ac:dyDescent="0.25">
      <c r="A185" s="111"/>
      <c r="B185" s="114"/>
      <c r="C185" s="116"/>
      <c r="D185" s="129"/>
      <c r="E185" s="117"/>
      <c r="F185" s="12" t="s">
        <v>17</v>
      </c>
      <c r="G185" s="22">
        <f>H185+I185+J185+K185+M185</f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147"/>
    </row>
    <row r="186" spans="1:23" ht="21.75" customHeight="1" x14ac:dyDescent="0.25">
      <c r="A186" s="109" t="s">
        <v>120</v>
      </c>
      <c r="B186" s="112" t="s">
        <v>71</v>
      </c>
      <c r="C186" s="115" t="s">
        <v>11</v>
      </c>
      <c r="D186" s="118" t="s">
        <v>149</v>
      </c>
      <c r="E186" s="115" t="s">
        <v>153</v>
      </c>
      <c r="F186" s="12" t="s">
        <v>14</v>
      </c>
      <c r="G186" s="22">
        <f>G187+G188+G189</f>
        <v>227000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147"/>
    </row>
    <row r="187" spans="1:23" ht="21.75" customHeight="1" x14ac:dyDescent="0.25">
      <c r="A187" s="110"/>
      <c r="B187" s="113"/>
      <c r="C187" s="116"/>
      <c r="D187" s="119"/>
      <c r="E187" s="116"/>
      <c r="F187" s="12" t="s">
        <v>133</v>
      </c>
      <c r="G187" s="22">
        <f>H187+I187+J187+K187+M187</f>
        <v>227000</v>
      </c>
      <c r="H187" s="22">
        <v>227000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47"/>
    </row>
    <row r="188" spans="1:23" ht="21.75" customHeight="1" x14ac:dyDescent="0.25">
      <c r="A188" s="110"/>
      <c r="B188" s="113"/>
      <c r="C188" s="116"/>
      <c r="D188" s="119"/>
      <c r="E188" s="116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47"/>
    </row>
    <row r="189" spans="1:23" ht="21.75" customHeight="1" x14ac:dyDescent="0.25">
      <c r="A189" s="111"/>
      <c r="B189" s="114"/>
      <c r="C189" s="116"/>
      <c r="D189" s="120"/>
      <c r="E189" s="117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47"/>
    </row>
    <row r="190" spans="1:23" ht="21.75" customHeight="1" x14ac:dyDescent="0.25">
      <c r="A190" s="109" t="s">
        <v>86</v>
      </c>
      <c r="B190" s="112" t="s">
        <v>82</v>
      </c>
      <c r="C190" s="115" t="s">
        <v>11</v>
      </c>
      <c r="D190" s="118" t="s">
        <v>42</v>
      </c>
      <c r="E190" s="115" t="s">
        <v>153</v>
      </c>
      <c r="F190" s="12" t="s">
        <v>14</v>
      </c>
      <c r="G190" s="22">
        <f t="shared" ref="G190:M190" si="56">G191+G192+G193</f>
        <v>4525000</v>
      </c>
      <c r="H190" s="22">
        <f t="shared" si="56"/>
        <v>2525000</v>
      </c>
      <c r="I190" s="22">
        <f t="shared" si="56"/>
        <v>2000000</v>
      </c>
      <c r="J190" s="22">
        <f t="shared" si="56"/>
        <v>0</v>
      </c>
      <c r="K190" s="22">
        <f t="shared" si="56"/>
        <v>0</v>
      </c>
      <c r="L190" s="22">
        <f>L191+L192+L193</f>
        <v>0</v>
      </c>
      <c r="M190" s="22">
        <f t="shared" si="56"/>
        <v>0</v>
      </c>
      <c r="N190" s="147"/>
      <c r="O190" s="3"/>
      <c r="W190" s="3" t="e">
        <f>#REF!+#REF!+#REF!+#REF!</f>
        <v>#REF!</v>
      </c>
    </row>
    <row r="191" spans="1:23" ht="21.75" customHeight="1" x14ac:dyDescent="0.25">
      <c r="A191" s="110"/>
      <c r="B191" s="113"/>
      <c r="C191" s="116"/>
      <c r="D191" s="119"/>
      <c r="E191" s="116"/>
      <c r="F191" s="12" t="s">
        <v>133</v>
      </c>
      <c r="G191" s="22">
        <f>H191+I191+J191+K191+M191</f>
        <v>2052500</v>
      </c>
      <c r="H191" s="22">
        <f>1000000+47250+5250</f>
        <v>1052500</v>
      </c>
      <c r="I191" s="22">
        <v>1000000</v>
      </c>
      <c r="J191" s="22">
        <v>0</v>
      </c>
      <c r="K191" s="22">
        <v>0</v>
      </c>
      <c r="L191" s="22">
        <v>0</v>
      </c>
      <c r="M191" s="22">
        <v>0</v>
      </c>
      <c r="N191" s="147"/>
    </row>
    <row r="192" spans="1:23" ht="21.75" customHeight="1" x14ac:dyDescent="0.25">
      <c r="A192" s="110"/>
      <c r="B192" s="113"/>
      <c r="C192" s="116"/>
      <c r="D192" s="119"/>
      <c r="E192" s="116"/>
      <c r="F192" s="12" t="s">
        <v>16</v>
      </c>
      <c r="G192" s="22">
        <f>H192+I192+J192+K192+M192</f>
        <v>2472500</v>
      </c>
      <c r="H192" s="22">
        <f>1000000+472500</f>
        <v>1472500</v>
      </c>
      <c r="I192" s="22">
        <v>1000000</v>
      </c>
      <c r="J192" s="22">
        <v>0</v>
      </c>
      <c r="K192" s="22">
        <v>0</v>
      </c>
      <c r="L192" s="22">
        <v>0</v>
      </c>
      <c r="M192" s="22">
        <v>0</v>
      </c>
      <c r="N192" s="147"/>
    </row>
    <row r="193" spans="1:16" ht="21.75" customHeight="1" x14ac:dyDescent="0.25">
      <c r="A193" s="111"/>
      <c r="B193" s="114"/>
      <c r="C193" s="117"/>
      <c r="D193" s="120"/>
      <c r="E193" s="117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47"/>
    </row>
    <row r="194" spans="1:16" s="10" customFormat="1" ht="21.75" customHeight="1" x14ac:dyDescent="0.25">
      <c r="A194" s="109" t="s">
        <v>121</v>
      </c>
      <c r="B194" s="112" t="s">
        <v>92</v>
      </c>
      <c r="C194" s="115" t="s">
        <v>11</v>
      </c>
      <c r="D194" s="118" t="s">
        <v>42</v>
      </c>
      <c r="E194" s="115" t="s">
        <v>153</v>
      </c>
      <c r="F194" s="12" t="s">
        <v>14</v>
      </c>
      <c r="G194" s="22">
        <f t="shared" ref="G194:M194" si="57">G195+G196+G197</f>
        <v>6786538.7999999998</v>
      </c>
      <c r="H194" s="22">
        <f t="shared" si="57"/>
        <v>1316716</v>
      </c>
      <c r="I194" s="22">
        <f t="shared" si="57"/>
        <v>0</v>
      </c>
      <c r="J194" s="22">
        <f t="shared" si="57"/>
        <v>2487958.7999999998</v>
      </c>
      <c r="K194" s="22">
        <f t="shared" si="57"/>
        <v>2981864</v>
      </c>
      <c r="L194" s="22">
        <f t="shared" si="57"/>
        <v>0</v>
      </c>
      <c r="M194" s="22">
        <f t="shared" si="57"/>
        <v>0</v>
      </c>
      <c r="N194" s="147"/>
    </row>
    <row r="195" spans="1:16" s="10" customFormat="1" ht="21.75" customHeight="1" x14ac:dyDescent="0.25">
      <c r="A195" s="110"/>
      <c r="B195" s="113"/>
      <c r="C195" s="116"/>
      <c r="D195" s="119"/>
      <c r="E195" s="116"/>
      <c r="F195" s="12" t="s">
        <v>133</v>
      </c>
      <c r="G195" s="22">
        <f>H195+I195+J195+K195+M195</f>
        <v>4188101</v>
      </c>
      <c r="H195" s="22">
        <f>368777+87460</f>
        <v>456237</v>
      </c>
      <c r="I195" s="22">
        <v>0</v>
      </c>
      <c r="J195" s="22">
        <f>+'[7]остатки средств в ФК_2'!$R$52</f>
        <v>750000</v>
      </c>
      <c r="K195" s="22">
        <v>2981864</v>
      </c>
      <c r="L195" s="22">
        <v>0</v>
      </c>
      <c r="M195" s="22">
        <v>0</v>
      </c>
      <c r="N195" s="147"/>
    </row>
    <row r="196" spans="1:16" s="10" customFormat="1" ht="21.75" customHeight="1" x14ac:dyDescent="0.25">
      <c r="A196" s="110"/>
      <c r="B196" s="113"/>
      <c r="C196" s="116"/>
      <c r="D196" s="119"/>
      <c r="E196" s="116"/>
      <c r="F196" s="12" t="s">
        <v>16</v>
      </c>
      <c r="G196" s="22">
        <f>H196+I196+J196+K196+M196</f>
        <v>2598437.7999999998</v>
      </c>
      <c r="H196" s="22">
        <v>860479</v>
      </c>
      <c r="I196" s="22">
        <v>0</v>
      </c>
      <c r="J196" s="22">
        <f>'[8]остатки средств в ФК_2'!$Y$46</f>
        <v>1737958.8</v>
      </c>
      <c r="K196" s="22">
        <v>0</v>
      </c>
      <c r="L196" s="22">
        <v>0</v>
      </c>
      <c r="M196" s="22">
        <v>0</v>
      </c>
      <c r="N196" s="147"/>
    </row>
    <row r="197" spans="1:16" s="10" customFormat="1" ht="21.75" customHeight="1" x14ac:dyDescent="0.25">
      <c r="A197" s="111"/>
      <c r="B197" s="114"/>
      <c r="C197" s="117"/>
      <c r="D197" s="120"/>
      <c r="E197" s="117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47"/>
    </row>
    <row r="198" spans="1:16" ht="21.75" customHeight="1" x14ac:dyDescent="0.25">
      <c r="A198" s="109" t="s">
        <v>89</v>
      </c>
      <c r="B198" s="112" t="s">
        <v>90</v>
      </c>
      <c r="C198" s="115" t="s">
        <v>11</v>
      </c>
      <c r="D198" s="118" t="s">
        <v>42</v>
      </c>
      <c r="E198" s="115" t="s">
        <v>153</v>
      </c>
      <c r="F198" s="12" t="s">
        <v>14</v>
      </c>
      <c r="G198" s="22">
        <f t="shared" ref="G198:M198" si="58">G199+G200+G201</f>
        <v>0</v>
      </c>
      <c r="H198" s="22">
        <f t="shared" si="58"/>
        <v>0</v>
      </c>
      <c r="I198" s="22">
        <f t="shared" si="58"/>
        <v>0</v>
      </c>
      <c r="J198" s="22">
        <f t="shared" si="58"/>
        <v>0</v>
      </c>
      <c r="K198" s="22">
        <f t="shared" si="58"/>
        <v>0</v>
      </c>
      <c r="L198" s="22">
        <f t="shared" si="58"/>
        <v>0</v>
      </c>
      <c r="M198" s="22">
        <f t="shared" si="58"/>
        <v>0</v>
      </c>
      <c r="N198" s="147"/>
    </row>
    <row r="199" spans="1:16" ht="21.75" customHeight="1" x14ac:dyDescent="0.25">
      <c r="A199" s="110"/>
      <c r="B199" s="113"/>
      <c r="C199" s="116"/>
      <c r="D199" s="119"/>
      <c r="E199" s="116"/>
      <c r="F199" s="12" t="s">
        <v>15</v>
      </c>
      <c r="G199" s="22">
        <f>H199+I199+J199+K199+M199</f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147"/>
    </row>
    <row r="200" spans="1:16" ht="21.75" customHeight="1" x14ac:dyDescent="0.25">
      <c r="A200" s="110"/>
      <c r="B200" s="113"/>
      <c r="C200" s="116"/>
      <c r="D200" s="119"/>
      <c r="E200" s="116"/>
      <c r="F200" s="12" t="s">
        <v>16</v>
      </c>
      <c r="G200" s="22">
        <f>H200+I200+J200+K200+M200</f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147"/>
    </row>
    <row r="201" spans="1:16" ht="21.75" customHeight="1" x14ac:dyDescent="0.25">
      <c r="A201" s="111"/>
      <c r="B201" s="114"/>
      <c r="C201" s="117"/>
      <c r="D201" s="120"/>
      <c r="E201" s="117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47"/>
    </row>
    <row r="202" spans="1:16" ht="21.75" customHeight="1" x14ac:dyDescent="0.25">
      <c r="A202" s="109" t="s">
        <v>94</v>
      </c>
      <c r="B202" s="112" t="s">
        <v>84</v>
      </c>
      <c r="C202" s="115" t="s">
        <v>11</v>
      </c>
      <c r="D202" s="118" t="s">
        <v>12</v>
      </c>
      <c r="E202" s="115" t="s">
        <v>153</v>
      </c>
      <c r="F202" s="12" t="s">
        <v>14</v>
      </c>
      <c r="G202" s="22">
        <f t="shared" ref="G202:M202" si="59">G203+G204+G205</f>
        <v>12872083.469999999</v>
      </c>
      <c r="H202" s="22">
        <f t="shared" si="59"/>
        <v>3038075</v>
      </c>
      <c r="I202" s="22">
        <f t="shared" si="59"/>
        <v>2233000</v>
      </c>
      <c r="J202" s="22">
        <f t="shared" si="59"/>
        <v>2146368.09</v>
      </c>
      <c r="K202" s="22">
        <f t="shared" si="59"/>
        <v>2727316.77</v>
      </c>
      <c r="L202" s="22">
        <f>L203+L204+L205</f>
        <v>2727323.6100000003</v>
      </c>
      <c r="M202" s="22">
        <f t="shared" si="59"/>
        <v>2727323.6100000003</v>
      </c>
      <c r="N202" s="147"/>
    </row>
    <row r="203" spans="1:16" ht="21.75" customHeight="1" x14ac:dyDescent="0.25">
      <c r="A203" s="110"/>
      <c r="B203" s="113"/>
      <c r="C203" s="116"/>
      <c r="D203" s="119"/>
      <c r="E203" s="116"/>
      <c r="F203" s="12" t="s">
        <v>133</v>
      </c>
      <c r="G203" s="22">
        <f t="shared" ref="G203:G213" si="60">H203+I203+J203+K203+M203</f>
        <v>12243612.469999999</v>
      </c>
      <c r="H203" s="22">
        <f>3200000-300000-62034+62034</f>
        <v>2900000</v>
      </c>
      <c r="I203" s="22">
        <f>1933000+300000</f>
        <v>2233000</v>
      </c>
      <c r="J203" s="22">
        <v>2146368.09</v>
      </c>
      <c r="K203" s="22">
        <f>2727323.61-490396-6.84</f>
        <v>2236920.77</v>
      </c>
      <c r="L203" s="22">
        <v>2727323.6100000003</v>
      </c>
      <c r="M203" s="22">
        <v>2727323.6100000003</v>
      </c>
      <c r="N203" s="147"/>
    </row>
    <row r="204" spans="1:16" ht="21.75" customHeight="1" x14ac:dyDescent="0.25">
      <c r="A204" s="110"/>
      <c r="B204" s="113"/>
      <c r="C204" s="116"/>
      <c r="D204" s="119"/>
      <c r="E204" s="116"/>
      <c r="F204" s="12" t="s">
        <v>16</v>
      </c>
      <c r="G204" s="22">
        <f t="shared" si="60"/>
        <v>628471</v>
      </c>
      <c r="H204" s="22">
        <v>138075</v>
      </c>
      <c r="I204" s="22">
        <v>0</v>
      </c>
      <c r="J204" s="22">
        <v>0</v>
      </c>
      <c r="K204" s="22">
        <v>490396</v>
      </c>
      <c r="L204" s="22">
        <v>0</v>
      </c>
      <c r="M204" s="22">
        <v>0</v>
      </c>
      <c r="N204" s="147"/>
      <c r="P204" s="3"/>
    </row>
    <row r="205" spans="1:16" ht="21.75" customHeight="1" x14ac:dyDescent="0.25">
      <c r="A205" s="111"/>
      <c r="B205" s="114"/>
      <c r="C205" s="117"/>
      <c r="D205" s="120"/>
      <c r="E205" s="117"/>
      <c r="F205" s="12" t="s">
        <v>17</v>
      </c>
      <c r="G205" s="22">
        <f t="shared" si="60"/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47"/>
      <c r="P205" s="3"/>
    </row>
    <row r="206" spans="1:16" ht="21.75" customHeight="1" x14ac:dyDescent="0.25">
      <c r="A206" s="195" t="s">
        <v>102</v>
      </c>
      <c r="B206" s="112" t="s">
        <v>87</v>
      </c>
      <c r="C206" s="115" t="s">
        <v>11</v>
      </c>
      <c r="D206" s="118" t="s">
        <v>42</v>
      </c>
      <c r="E206" s="115" t="s">
        <v>153</v>
      </c>
      <c r="F206" s="12" t="s">
        <v>14</v>
      </c>
      <c r="G206" s="22">
        <f t="shared" ref="G206:M206" si="61">G207+G208+G209</f>
        <v>6705000</v>
      </c>
      <c r="H206" s="22">
        <f t="shared" si="61"/>
        <v>525000</v>
      </c>
      <c r="I206" s="22">
        <f t="shared" si="61"/>
        <v>0</v>
      </c>
      <c r="J206" s="22">
        <f t="shared" si="61"/>
        <v>610000</v>
      </c>
      <c r="K206" s="22">
        <f t="shared" si="61"/>
        <v>3470000</v>
      </c>
      <c r="L206" s="22">
        <f>L207+L208+L209</f>
        <v>2100000</v>
      </c>
      <c r="M206" s="22">
        <f t="shared" si="61"/>
        <v>2100000</v>
      </c>
      <c r="N206" s="147"/>
    </row>
    <row r="207" spans="1:16" ht="21.75" customHeight="1" x14ac:dyDescent="0.25">
      <c r="A207" s="110"/>
      <c r="B207" s="113"/>
      <c r="C207" s="116"/>
      <c r="D207" s="119"/>
      <c r="E207" s="116"/>
      <c r="F207" s="12" t="s">
        <v>133</v>
      </c>
      <c r="G207" s="22">
        <f t="shared" si="60"/>
        <v>5085000</v>
      </c>
      <c r="H207" s="22">
        <f>700000+300000-475000</f>
        <v>525000</v>
      </c>
      <c r="I207" s="22">
        <v>0</v>
      </c>
      <c r="J207" s="22">
        <f>500000+600000-140000-600000</f>
        <v>360000</v>
      </c>
      <c r="K207" s="22">
        <f>'[1]Бюджет 2023-2025 местн'!$J$41</f>
        <v>2100000</v>
      </c>
      <c r="L207" s="22">
        <v>2100000</v>
      </c>
      <c r="M207" s="22">
        <v>2100000</v>
      </c>
      <c r="N207" s="147"/>
      <c r="P207" s="2">
        <v>854209197.39999998</v>
      </c>
    </row>
    <row r="208" spans="1:16" ht="21.75" customHeight="1" x14ac:dyDescent="0.25">
      <c r="A208" s="110"/>
      <c r="B208" s="113"/>
      <c r="C208" s="116"/>
      <c r="D208" s="119"/>
      <c r="E208" s="116"/>
      <c r="F208" s="12" t="s">
        <v>16</v>
      </c>
      <c r="G208" s="22">
        <f t="shared" si="60"/>
        <v>1620000</v>
      </c>
      <c r="H208" s="22">
        <v>0</v>
      </c>
      <c r="I208" s="22">
        <v>0</v>
      </c>
      <c r="J208" s="22">
        <v>250000</v>
      </c>
      <c r="K208" s="22">
        <v>1370000</v>
      </c>
      <c r="L208" s="22">
        <v>0</v>
      </c>
      <c r="M208" s="22">
        <v>0</v>
      </c>
      <c r="N208" s="147"/>
      <c r="P208" s="2">
        <v>852492090</v>
      </c>
    </row>
    <row r="209" spans="1:16" ht="21.75" customHeight="1" x14ac:dyDescent="0.25">
      <c r="A209" s="111"/>
      <c r="B209" s="114"/>
      <c r="C209" s="117"/>
      <c r="D209" s="120"/>
      <c r="E209" s="117"/>
      <c r="F209" s="12" t="s">
        <v>17</v>
      </c>
      <c r="G209" s="22">
        <f t="shared" si="60"/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47"/>
      <c r="P209" s="2">
        <f>P207-P208</f>
        <v>1717107.3999999762</v>
      </c>
    </row>
    <row r="210" spans="1:16" ht="21.75" hidden="1" customHeight="1" outlineLevel="1" x14ac:dyDescent="0.25">
      <c r="A210" s="51"/>
      <c r="B210" s="112" t="s">
        <v>88</v>
      </c>
      <c r="C210" s="115" t="s">
        <v>11</v>
      </c>
      <c r="D210" s="115"/>
      <c r="E210" s="115" t="s">
        <v>153</v>
      </c>
      <c r="F210" s="12" t="s">
        <v>14</v>
      </c>
      <c r="G210" s="22">
        <f t="shared" ref="G210:M210" si="62">G211+G212+G213</f>
        <v>0</v>
      </c>
      <c r="H210" s="22">
        <f t="shared" si="62"/>
        <v>0</v>
      </c>
      <c r="I210" s="22">
        <f t="shared" si="62"/>
        <v>0</v>
      </c>
      <c r="J210" s="22">
        <f t="shared" si="62"/>
        <v>0</v>
      </c>
      <c r="K210" s="22">
        <f t="shared" si="62"/>
        <v>0</v>
      </c>
      <c r="L210" s="22">
        <f>L211+L212+L213</f>
        <v>0</v>
      </c>
      <c r="M210" s="22">
        <f t="shared" si="62"/>
        <v>0</v>
      </c>
      <c r="N210" s="147"/>
    </row>
    <row r="211" spans="1:16" ht="21.75" hidden="1" customHeight="1" outlineLevel="1" x14ac:dyDescent="0.25">
      <c r="A211" s="50" t="s">
        <v>89</v>
      </c>
      <c r="B211" s="113"/>
      <c r="C211" s="116"/>
      <c r="D211" s="116"/>
      <c r="E211" s="116"/>
      <c r="F211" s="12" t="s">
        <v>15</v>
      </c>
      <c r="G211" s="22">
        <f t="shared" si="60"/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147"/>
    </row>
    <row r="212" spans="1:16" ht="21.75" hidden="1" customHeight="1" outlineLevel="1" x14ac:dyDescent="0.25">
      <c r="A212" s="51"/>
      <c r="B212" s="113"/>
      <c r="C212" s="116"/>
      <c r="D212" s="116"/>
      <c r="E212" s="116"/>
      <c r="F212" s="12" t="s">
        <v>16</v>
      </c>
      <c r="G212" s="22">
        <f t="shared" si="60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147"/>
    </row>
    <row r="213" spans="1:16" ht="21.75" hidden="1" customHeight="1" outlineLevel="1" x14ac:dyDescent="0.25">
      <c r="A213" s="51"/>
      <c r="B213" s="114"/>
      <c r="C213" s="117"/>
      <c r="D213" s="117"/>
      <c r="E213" s="117"/>
      <c r="F213" s="12" t="s">
        <v>17</v>
      </c>
      <c r="G213" s="22">
        <f t="shared" si="60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47"/>
    </row>
    <row r="214" spans="1:16" ht="21.75" hidden="1" customHeight="1" outlineLevel="1" x14ac:dyDescent="0.25">
      <c r="A214" s="109" t="s">
        <v>91</v>
      </c>
      <c r="B214" s="112" t="s">
        <v>90</v>
      </c>
      <c r="C214" s="115" t="s">
        <v>11</v>
      </c>
      <c r="D214" s="115"/>
      <c r="E214" s="115" t="s">
        <v>153</v>
      </c>
      <c r="F214" s="12" t="s">
        <v>14</v>
      </c>
      <c r="G214" s="22">
        <f t="shared" ref="G214:M214" si="63">G215+G216+G217</f>
        <v>0</v>
      </c>
      <c r="H214" s="22">
        <f t="shared" si="63"/>
        <v>0</v>
      </c>
      <c r="I214" s="22">
        <f t="shared" si="63"/>
        <v>0</v>
      </c>
      <c r="J214" s="22">
        <f t="shared" si="63"/>
        <v>0</v>
      </c>
      <c r="K214" s="22">
        <f t="shared" si="63"/>
        <v>0</v>
      </c>
      <c r="L214" s="22">
        <f>L215+L216+L217</f>
        <v>0</v>
      </c>
      <c r="M214" s="22">
        <f t="shared" si="63"/>
        <v>0</v>
      </c>
      <c r="N214" s="147"/>
    </row>
    <row r="215" spans="1:16" ht="21.75" hidden="1" customHeight="1" outlineLevel="1" x14ac:dyDescent="0.25">
      <c r="A215" s="110"/>
      <c r="B215" s="113"/>
      <c r="C215" s="116"/>
      <c r="D215" s="116"/>
      <c r="E215" s="116"/>
      <c r="F215" s="12" t="s">
        <v>15</v>
      </c>
      <c r="G215" s="22">
        <f>H215+I215+J215+K215+M215</f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147"/>
    </row>
    <row r="216" spans="1:16" ht="21.75" hidden="1" customHeight="1" outlineLevel="1" x14ac:dyDescent="0.25">
      <c r="A216" s="110"/>
      <c r="B216" s="113"/>
      <c r="C216" s="116"/>
      <c r="D216" s="116"/>
      <c r="E216" s="116"/>
      <c r="F216" s="12" t="s">
        <v>16</v>
      </c>
      <c r="G216" s="22">
        <f>H216+I216+J216+K216+M216</f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147"/>
    </row>
    <row r="217" spans="1:16" ht="21.75" hidden="1" customHeight="1" outlineLevel="1" x14ac:dyDescent="0.25">
      <c r="A217" s="111"/>
      <c r="B217" s="114"/>
      <c r="C217" s="117"/>
      <c r="D217" s="117"/>
      <c r="E217" s="117"/>
      <c r="F217" s="12" t="s">
        <v>17</v>
      </c>
      <c r="G217" s="22">
        <f>H217+I217+J217+K217+M217</f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47"/>
    </row>
    <row r="218" spans="1:16" ht="21.75" hidden="1" customHeight="1" outlineLevel="1" x14ac:dyDescent="0.25">
      <c r="A218" s="51"/>
      <c r="B218" s="112" t="s">
        <v>85</v>
      </c>
      <c r="C218" s="115" t="s">
        <v>11</v>
      </c>
      <c r="D218" s="115"/>
      <c r="E218" s="115" t="s">
        <v>153</v>
      </c>
      <c r="F218" s="12" t="s">
        <v>14</v>
      </c>
      <c r="G218" s="22">
        <f t="shared" ref="G218:M218" si="64">G219+G220+G221</f>
        <v>0</v>
      </c>
      <c r="H218" s="22">
        <f t="shared" si="64"/>
        <v>0</v>
      </c>
      <c r="I218" s="22">
        <f t="shared" si="64"/>
        <v>0</v>
      </c>
      <c r="J218" s="22">
        <f t="shared" si="64"/>
        <v>0</v>
      </c>
      <c r="K218" s="22">
        <f t="shared" si="64"/>
        <v>0</v>
      </c>
      <c r="L218" s="22">
        <f>L219+L220+L221</f>
        <v>0</v>
      </c>
      <c r="M218" s="22">
        <f t="shared" si="64"/>
        <v>0</v>
      </c>
      <c r="N218" s="147"/>
      <c r="P218" s="3"/>
    </row>
    <row r="219" spans="1:16" ht="21.75" hidden="1" customHeight="1" outlineLevel="1" x14ac:dyDescent="0.25">
      <c r="A219" s="51"/>
      <c r="B219" s="113"/>
      <c r="C219" s="116"/>
      <c r="D219" s="116"/>
      <c r="E219" s="116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47"/>
      <c r="P219" s="3"/>
    </row>
    <row r="220" spans="1:16" ht="21.75" hidden="1" customHeight="1" outlineLevel="1" x14ac:dyDescent="0.25">
      <c r="A220" s="50" t="s">
        <v>122</v>
      </c>
      <c r="B220" s="113"/>
      <c r="C220" s="116"/>
      <c r="D220" s="116"/>
      <c r="E220" s="116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47"/>
      <c r="P220" s="3"/>
    </row>
    <row r="221" spans="1:16" ht="21.75" hidden="1" customHeight="1" outlineLevel="1" x14ac:dyDescent="0.25">
      <c r="A221" s="51"/>
      <c r="B221" s="114"/>
      <c r="C221" s="117"/>
      <c r="D221" s="117"/>
      <c r="E221" s="117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48"/>
      <c r="P221" s="3"/>
    </row>
    <row r="222" spans="1:16" ht="21.75" customHeight="1" collapsed="1" x14ac:dyDescent="0.25">
      <c r="A222" s="153"/>
      <c r="B222" s="186" t="s">
        <v>141</v>
      </c>
      <c r="C222" s="159" t="s">
        <v>11</v>
      </c>
      <c r="D222" s="162" t="s">
        <v>93</v>
      </c>
      <c r="E222" s="159" t="s">
        <v>153</v>
      </c>
      <c r="F222" s="34" t="s">
        <v>14</v>
      </c>
      <c r="G222" s="35">
        <f t="shared" ref="G222:M222" si="65">G223+G224+G225</f>
        <v>23699651.289999999</v>
      </c>
      <c r="H222" s="35">
        <f t="shared" si="65"/>
        <v>1942784.25</v>
      </c>
      <c r="I222" s="35">
        <f t="shared" si="65"/>
        <v>4335490.6399999997</v>
      </c>
      <c r="J222" s="35">
        <f t="shared" si="65"/>
        <v>5072468.2399999993</v>
      </c>
      <c r="K222" s="35">
        <f t="shared" si="65"/>
        <v>6471604.9199999999</v>
      </c>
      <c r="L222" s="35">
        <f>L223+L224+L225</f>
        <v>5670475.4000000004</v>
      </c>
      <c r="M222" s="35">
        <f t="shared" si="65"/>
        <v>5877303.2400000002</v>
      </c>
      <c r="N222" s="189"/>
    </row>
    <row r="223" spans="1:16" ht="21.75" customHeight="1" x14ac:dyDescent="0.25">
      <c r="A223" s="154"/>
      <c r="B223" s="187"/>
      <c r="C223" s="160"/>
      <c r="D223" s="160"/>
      <c r="E223" s="160"/>
      <c r="F223" s="34" t="s">
        <v>133</v>
      </c>
      <c r="G223" s="35">
        <f>H223+I223+J223+K223+M223</f>
        <v>3937369.86</v>
      </c>
      <c r="H223" s="35">
        <f t="shared" ref="H223:I225" si="66">H227+H231+H235+H243+H239</f>
        <v>1742784.25</v>
      </c>
      <c r="I223" s="35">
        <f>I227+I231+I235+I243+I239</f>
        <v>722529.92999999993</v>
      </c>
      <c r="J223" s="35">
        <f t="shared" ref="J223:M225" si="67">J227+J231+J235+J243+J239</f>
        <v>472055.68</v>
      </c>
      <c r="K223" s="35">
        <f t="shared" si="67"/>
        <v>500000</v>
      </c>
      <c r="L223" s="35">
        <f>L227+L231+L235+L243+L239</f>
        <v>500000</v>
      </c>
      <c r="M223" s="35">
        <f t="shared" si="67"/>
        <v>500000</v>
      </c>
      <c r="N223" s="190"/>
    </row>
    <row r="224" spans="1:16" ht="21.75" customHeight="1" x14ac:dyDescent="0.25">
      <c r="A224" s="154"/>
      <c r="B224" s="187"/>
      <c r="C224" s="160"/>
      <c r="D224" s="160"/>
      <c r="E224" s="160"/>
      <c r="F224" s="34" t="s">
        <v>16</v>
      </c>
      <c r="G224" s="35">
        <f>H224+I224+J224+K224+M224</f>
        <v>19762281.43</v>
      </c>
      <c r="H224" s="35">
        <f t="shared" si="66"/>
        <v>200000</v>
      </c>
      <c r="I224" s="35">
        <f t="shared" si="66"/>
        <v>3612960.71</v>
      </c>
      <c r="J224" s="35">
        <f t="shared" si="67"/>
        <v>4600412.5599999996</v>
      </c>
      <c r="K224" s="35">
        <f t="shared" si="67"/>
        <v>5971604.9199999999</v>
      </c>
      <c r="L224" s="35">
        <f>L228+L232+L236+L244+L240</f>
        <v>5170475.4000000004</v>
      </c>
      <c r="M224" s="35">
        <f t="shared" si="67"/>
        <v>5377303.2400000002</v>
      </c>
      <c r="N224" s="190"/>
    </row>
    <row r="225" spans="1:14" ht="21.75" customHeight="1" x14ac:dyDescent="0.25">
      <c r="A225" s="155"/>
      <c r="B225" s="188"/>
      <c r="C225" s="161"/>
      <c r="D225" s="161"/>
      <c r="E225" s="161"/>
      <c r="F225" s="34" t="s">
        <v>17</v>
      </c>
      <c r="G225" s="35">
        <f>H225+I225+J225+K225+M225</f>
        <v>0</v>
      </c>
      <c r="H225" s="35">
        <f t="shared" si="66"/>
        <v>0</v>
      </c>
      <c r="I225" s="35">
        <f t="shared" si="66"/>
        <v>0</v>
      </c>
      <c r="J225" s="35">
        <f t="shared" si="67"/>
        <v>0</v>
      </c>
      <c r="K225" s="35">
        <f t="shared" si="67"/>
        <v>0</v>
      </c>
      <c r="L225" s="35">
        <f>L229+L233+L237+L245+L241</f>
        <v>0</v>
      </c>
      <c r="M225" s="35">
        <f t="shared" si="67"/>
        <v>0</v>
      </c>
      <c r="N225" s="191"/>
    </row>
    <row r="226" spans="1:14" ht="21.75" customHeight="1" x14ac:dyDescent="0.25">
      <c r="A226" s="109" t="s">
        <v>18</v>
      </c>
      <c r="B226" s="112" t="s">
        <v>138</v>
      </c>
      <c r="C226" s="115" t="s">
        <v>11</v>
      </c>
      <c r="D226" s="118" t="s">
        <v>95</v>
      </c>
      <c r="E226" s="115" t="s">
        <v>153</v>
      </c>
      <c r="F226" s="12" t="s">
        <v>14</v>
      </c>
      <c r="G226" s="22">
        <f t="shared" ref="G226:M226" si="68">G227+G228+G229</f>
        <v>2525881.79</v>
      </c>
      <c r="H226" s="22">
        <f t="shared" si="68"/>
        <v>1426776.79</v>
      </c>
      <c r="I226" s="22">
        <f t="shared" si="68"/>
        <v>0</v>
      </c>
      <c r="J226" s="48">
        <f t="shared" si="68"/>
        <v>50969</v>
      </c>
      <c r="K226" s="22">
        <f t="shared" si="68"/>
        <v>1024068</v>
      </c>
      <c r="L226" s="22">
        <f>L227+L228+L229</f>
        <v>24068</v>
      </c>
      <c r="M226" s="22">
        <f t="shared" si="68"/>
        <v>24068</v>
      </c>
      <c r="N226" s="196" t="s">
        <v>150</v>
      </c>
    </row>
    <row r="227" spans="1:14" ht="21.75" customHeight="1" x14ac:dyDescent="0.25">
      <c r="A227" s="110"/>
      <c r="B227" s="113"/>
      <c r="C227" s="116"/>
      <c r="D227" s="119"/>
      <c r="E227" s="116"/>
      <c r="F227" s="12" t="s">
        <v>133</v>
      </c>
      <c r="G227" s="22">
        <f>H227+I227+J227+K227+M227</f>
        <v>1525881.79</v>
      </c>
      <c r="H227" s="22">
        <f>76776.79+1000000+350000</f>
        <v>1426776.79</v>
      </c>
      <c r="I227" s="22">
        <v>0</v>
      </c>
      <c r="J227" s="48">
        <f>'[9]2022 год'!$D$15+'[9]2022 год'!$E$19</f>
        <v>50969</v>
      </c>
      <c r="K227" s="22">
        <v>24068</v>
      </c>
      <c r="L227" s="22">
        <v>24068</v>
      </c>
      <c r="M227" s="22">
        <v>24068</v>
      </c>
      <c r="N227" s="197"/>
    </row>
    <row r="228" spans="1:14" ht="21.75" customHeight="1" x14ac:dyDescent="0.25">
      <c r="A228" s="110"/>
      <c r="B228" s="113"/>
      <c r="C228" s="116"/>
      <c r="D228" s="119"/>
      <c r="E228" s="116"/>
      <c r="F228" s="12" t="s">
        <v>16</v>
      </c>
      <c r="G228" s="22">
        <f>H228+I228+J228+K228+M228</f>
        <v>1000000</v>
      </c>
      <c r="H228" s="22">
        <v>0</v>
      </c>
      <c r="I228" s="22">
        <v>0</v>
      </c>
      <c r="J228" s="48">
        <v>0</v>
      </c>
      <c r="K228" s="22">
        <v>1000000</v>
      </c>
      <c r="L228" s="22">
        <v>0</v>
      </c>
      <c r="M228" s="22">
        <v>0</v>
      </c>
      <c r="N228" s="197"/>
    </row>
    <row r="229" spans="1:14" ht="21.75" customHeight="1" x14ac:dyDescent="0.25">
      <c r="A229" s="111"/>
      <c r="B229" s="114"/>
      <c r="C229" s="116"/>
      <c r="D229" s="120"/>
      <c r="E229" s="117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48">
        <v>0</v>
      </c>
      <c r="K229" s="22">
        <v>0</v>
      </c>
      <c r="L229" s="22">
        <v>0</v>
      </c>
      <c r="M229" s="22">
        <v>0</v>
      </c>
      <c r="N229" s="197"/>
    </row>
    <row r="230" spans="1:14" ht="21.75" customHeight="1" x14ac:dyDescent="0.25">
      <c r="A230" s="109" t="s">
        <v>78</v>
      </c>
      <c r="B230" s="112" t="s">
        <v>96</v>
      </c>
      <c r="C230" s="115" t="s">
        <v>11</v>
      </c>
      <c r="D230" s="118" t="s">
        <v>93</v>
      </c>
      <c r="E230" s="115" t="s">
        <v>153</v>
      </c>
      <c r="F230" s="12" t="s">
        <v>14</v>
      </c>
      <c r="G230" s="22">
        <f t="shared" ref="G230:M230" si="69">G231+G232+G233</f>
        <v>1493382.4000000001</v>
      </c>
      <c r="H230" s="22">
        <f t="shared" si="69"/>
        <v>199970.46</v>
      </c>
      <c r="I230" s="22">
        <f t="shared" si="69"/>
        <v>422529.93</v>
      </c>
      <c r="J230" s="48">
        <f t="shared" si="69"/>
        <v>279313.93</v>
      </c>
      <c r="K230" s="22">
        <f t="shared" si="69"/>
        <v>295784.03999999998</v>
      </c>
      <c r="L230" s="22">
        <f>L231+L232+L233</f>
        <v>295784.03999999998</v>
      </c>
      <c r="M230" s="22">
        <f t="shared" si="69"/>
        <v>295784.03999999998</v>
      </c>
      <c r="N230" s="197"/>
    </row>
    <row r="231" spans="1:14" ht="21.75" customHeight="1" x14ac:dyDescent="0.25">
      <c r="A231" s="110"/>
      <c r="B231" s="113"/>
      <c r="C231" s="116"/>
      <c r="D231" s="119"/>
      <c r="E231" s="116"/>
      <c r="F231" s="12" t="s">
        <v>133</v>
      </c>
      <c r="G231" s="22">
        <f>H231+I231+J231+K231+M231</f>
        <v>1493382.4000000001</v>
      </c>
      <c r="H231" s="22">
        <f>190170.46+9800</f>
        <v>199970.46</v>
      </c>
      <c r="I231" s="22">
        <v>422529.93</v>
      </c>
      <c r="J231" s="48">
        <f>'[9]2022 год'!$C$20+'[9]2022 год'!$F$20-27944.32</f>
        <v>279313.93</v>
      </c>
      <c r="K231" s="22">
        <v>295784.03999999998</v>
      </c>
      <c r="L231" s="22">
        <v>295784.03999999998</v>
      </c>
      <c r="M231" s="22">
        <v>295784.03999999998</v>
      </c>
      <c r="N231" s="197"/>
    </row>
    <row r="232" spans="1:14" ht="21.75" customHeight="1" x14ac:dyDescent="0.25">
      <c r="A232" s="110"/>
      <c r="B232" s="113"/>
      <c r="C232" s="116"/>
      <c r="D232" s="119"/>
      <c r="E232" s="116"/>
      <c r="F232" s="12" t="s">
        <v>16</v>
      </c>
      <c r="G232" s="22">
        <f>H232+I232+J232+K232+M232</f>
        <v>0</v>
      </c>
      <c r="H232" s="22">
        <v>0</v>
      </c>
      <c r="I232" s="22">
        <v>0</v>
      </c>
      <c r="J232" s="48">
        <v>0</v>
      </c>
      <c r="K232" s="22">
        <v>0</v>
      </c>
      <c r="L232" s="22">
        <v>0</v>
      </c>
      <c r="M232" s="22">
        <v>0</v>
      </c>
      <c r="N232" s="197"/>
    </row>
    <row r="233" spans="1:14" ht="21.75" customHeight="1" x14ac:dyDescent="0.25">
      <c r="A233" s="111"/>
      <c r="B233" s="114"/>
      <c r="C233" s="116"/>
      <c r="D233" s="120"/>
      <c r="E233" s="117"/>
      <c r="F233" s="12" t="s">
        <v>17</v>
      </c>
      <c r="G233" s="22">
        <f>H233+I233+J233+K233+M233</f>
        <v>0</v>
      </c>
      <c r="H233" s="22">
        <v>0</v>
      </c>
      <c r="I233" s="22">
        <v>0</v>
      </c>
      <c r="J233" s="48">
        <v>0</v>
      </c>
      <c r="K233" s="22">
        <v>0</v>
      </c>
      <c r="L233" s="22">
        <v>0</v>
      </c>
      <c r="M233" s="22">
        <v>0</v>
      </c>
      <c r="N233" s="197"/>
    </row>
    <row r="234" spans="1:14" ht="21.75" customHeight="1" x14ac:dyDescent="0.25">
      <c r="A234" s="109" t="s">
        <v>81</v>
      </c>
      <c r="B234" s="112" t="s">
        <v>97</v>
      </c>
      <c r="C234" s="115" t="s">
        <v>11</v>
      </c>
      <c r="D234" s="118" t="s">
        <v>42</v>
      </c>
      <c r="E234" s="115" t="s">
        <v>153</v>
      </c>
      <c r="F234" s="12" t="s">
        <v>14</v>
      </c>
      <c r="G234" s="22">
        <f t="shared" ref="G234:M234" si="70">G235+G236+G237</f>
        <v>0</v>
      </c>
      <c r="H234" s="22">
        <f t="shared" si="70"/>
        <v>0</v>
      </c>
      <c r="I234" s="22">
        <f t="shared" si="70"/>
        <v>0</v>
      </c>
      <c r="J234" s="48">
        <f t="shared" si="70"/>
        <v>0</v>
      </c>
      <c r="K234" s="22">
        <f t="shared" si="70"/>
        <v>0</v>
      </c>
      <c r="L234" s="22">
        <f>L235+L236+L237</f>
        <v>0</v>
      </c>
      <c r="M234" s="22">
        <f t="shared" si="70"/>
        <v>0</v>
      </c>
      <c r="N234" s="197"/>
    </row>
    <row r="235" spans="1:14" ht="21.75" customHeight="1" x14ac:dyDescent="0.25">
      <c r="A235" s="110"/>
      <c r="B235" s="113"/>
      <c r="C235" s="116"/>
      <c r="D235" s="119"/>
      <c r="E235" s="116"/>
      <c r="F235" s="12" t="s">
        <v>133</v>
      </c>
      <c r="G235" s="22">
        <f>H235+I235+J235+K235+M235</f>
        <v>0</v>
      </c>
      <c r="H235" s="22">
        <v>0</v>
      </c>
      <c r="I235" s="22">
        <v>0</v>
      </c>
      <c r="J235" s="48">
        <v>0</v>
      </c>
      <c r="K235" s="22"/>
      <c r="L235" s="22">
        <v>0</v>
      </c>
      <c r="M235" s="22">
        <v>0</v>
      </c>
      <c r="N235" s="197"/>
    </row>
    <row r="236" spans="1:14" ht="21.75" customHeight="1" x14ac:dyDescent="0.25">
      <c r="A236" s="110"/>
      <c r="B236" s="113"/>
      <c r="C236" s="116"/>
      <c r="D236" s="119"/>
      <c r="E236" s="116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97"/>
    </row>
    <row r="237" spans="1:14" ht="21.75" customHeight="1" x14ac:dyDescent="0.25">
      <c r="A237" s="111"/>
      <c r="B237" s="114"/>
      <c r="C237" s="116"/>
      <c r="D237" s="120"/>
      <c r="E237" s="117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97"/>
    </row>
    <row r="238" spans="1:14" ht="21.75" customHeight="1" x14ac:dyDescent="0.25">
      <c r="A238" s="109" t="s">
        <v>94</v>
      </c>
      <c r="B238" s="112" t="s">
        <v>98</v>
      </c>
      <c r="C238" s="115" t="s">
        <v>11</v>
      </c>
      <c r="D238" s="118" t="s">
        <v>99</v>
      </c>
      <c r="E238" s="115" t="s">
        <v>153</v>
      </c>
      <c r="F238" s="12" t="s">
        <v>14</v>
      </c>
      <c r="G238" s="22">
        <f t="shared" ref="G238:M238" si="71">G239+G240+G241</f>
        <v>1439105.67</v>
      </c>
      <c r="H238" s="22">
        <f t="shared" si="71"/>
        <v>316037</v>
      </c>
      <c r="I238" s="22">
        <f t="shared" si="71"/>
        <v>390000</v>
      </c>
      <c r="J238" s="48">
        <f t="shared" si="71"/>
        <v>372772.75</v>
      </c>
      <c r="K238" s="22">
        <f t="shared" si="71"/>
        <v>180147.96</v>
      </c>
      <c r="L238" s="22">
        <f>L239+L240+L241</f>
        <v>180147.96</v>
      </c>
      <c r="M238" s="22">
        <f t="shared" si="71"/>
        <v>180147.96</v>
      </c>
      <c r="N238" s="197"/>
    </row>
    <row r="239" spans="1:14" ht="21.75" customHeight="1" x14ac:dyDescent="0.25">
      <c r="A239" s="110"/>
      <c r="B239" s="113"/>
      <c r="C239" s="116"/>
      <c r="D239" s="119"/>
      <c r="E239" s="116"/>
      <c r="F239" s="12" t="s">
        <v>133</v>
      </c>
      <c r="G239" s="22">
        <f>H239+I239+J239+K239+M239</f>
        <v>718105.66999999993</v>
      </c>
      <c r="H239" s="22">
        <v>116037</v>
      </c>
      <c r="I239" s="22">
        <f>157703.92-57703.92</f>
        <v>100000.00000000001</v>
      </c>
      <c r="J239" s="48">
        <f>110000+'[9]2022 год'!$D$19</f>
        <v>141772.75</v>
      </c>
      <c r="K239" s="22">
        <v>180147.96</v>
      </c>
      <c r="L239" s="22">
        <v>180147.96</v>
      </c>
      <c r="M239" s="22">
        <v>180147.96</v>
      </c>
      <c r="N239" s="197"/>
    </row>
    <row r="240" spans="1:14" ht="21.75" customHeight="1" x14ac:dyDescent="0.25">
      <c r="A240" s="110"/>
      <c r="B240" s="113"/>
      <c r="C240" s="116"/>
      <c r="D240" s="119"/>
      <c r="E240" s="116"/>
      <c r="F240" s="12" t="s">
        <v>16</v>
      </c>
      <c r="G240" s="22">
        <f>H240+I240+J240+K240+M240</f>
        <v>721000</v>
      </c>
      <c r="H240" s="22">
        <v>200000</v>
      </c>
      <c r="I240" s="22">
        <v>290000</v>
      </c>
      <c r="J240" s="48">
        <v>231000</v>
      </c>
      <c r="K240" s="22">
        <v>0</v>
      </c>
      <c r="L240" s="22">
        <v>0</v>
      </c>
      <c r="M240" s="22">
        <v>0</v>
      </c>
      <c r="N240" s="197"/>
    </row>
    <row r="241" spans="1:14" ht="21.75" customHeight="1" x14ac:dyDescent="0.25">
      <c r="A241" s="111"/>
      <c r="B241" s="114"/>
      <c r="C241" s="116"/>
      <c r="D241" s="120"/>
      <c r="E241" s="117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97"/>
    </row>
    <row r="242" spans="1:14" ht="21.75" customHeight="1" x14ac:dyDescent="0.25">
      <c r="A242" s="109" t="s">
        <v>102</v>
      </c>
      <c r="B242" s="112" t="s">
        <v>100</v>
      </c>
      <c r="C242" s="115" t="s">
        <v>11</v>
      </c>
      <c r="D242" s="118" t="s">
        <v>101</v>
      </c>
      <c r="E242" s="115" t="s">
        <v>153</v>
      </c>
      <c r="F242" s="12" t="s">
        <v>14</v>
      </c>
      <c r="G242" s="22">
        <f t="shared" ref="G242:M242" si="72">G243+G244+G245</f>
        <v>18241281.43</v>
      </c>
      <c r="H242" s="22">
        <f t="shared" si="72"/>
        <v>0</v>
      </c>
      <c r="I242" s="22">
        <f t="shared" si="72"/>
        <v>3522960.71</v>
      </c>
      <c r="J242" s="48">
        <f t="shared" si="72"/>
        <v>4369412.5599999996</v>
      </c>
      <c r="K242" s="22">
        <f t="shared" si="72"/>
        <v>4971604.92</v>
      </c>
      <c r="L242" s="22">
        <f>L243+L244+L245</f>
        <v>5170475.4000000004</v>
      </c>
      <c r="M242" s="22">
        <f t="shared" si="72"/>
        <v>5377303.2400000002</v>
      </c>
      <c r="N242" s="197"/>
    </row>
    <row r="243" spans="1:14" ht="21.75" customHeight="1" x14ac:dyDescent="0.25">
      <c r="A243" s="110"/>
      <c r="B243" s="113"/>
      <c r="C243" s="116"/>
      <c r="D243" s="119"/>
      <c r="E243" s="116"/>
      <c r="F243" s="12" t="s">
        <v>133</v>
      </c>
      <c r="G243" s="22">
        <f>H243+I243+J243+K243+M243</f>
        <v>200000</v>
      </c>
      <c r="H243" s="22">
        <v>0</v>
      </c>
      <c r="I243" s="22">
        <f>200000+572400-572400</f>
        <v>200000</v>
      </c>
      <c r="J243" s="48">
        <v>0</v>
      </c>
      <c r="K243" s="22">
        <v>0</v>
      </c>
      <c r="L243" s="22">
        <v>0</v>
      </c>
      <c r="M243" s="22">
        <v>0</v>
      </c>
      <c r="N243" s="197"/>
    </row>
    <row r="244" spans="1:14" ht="21.75" customHeight="1" x14ac:dyDescent="0.25">
      <c r="A244" s="110"/>
      <c r="B244" s="113"/>
      <c r="C244" s="116"/>
      <c r="D244" s="119"/>
      <c r="E244" s="116"/>
      <c r="F244" s="12" t="s">
        <v>16</v>
      </c>
      <c r="G244" s="22">
        <f>H244+I244+J244+K244+M244</f>
        <v>18041281.43</v>
      </c>
      <c r="H244" s="22">
        <v>0</v>
      </c>
      <c r="I244" s="22">
        <f>4922960.71-1600000</f>
        <v>3322960.71</v>
      </c>
      <c r="J244" s="48">
        <v>4369412.5599999996</v>
      </c>
      <c r="K244" s="22">
        <f>'[1]Бюджет 2023-2025 МБ, ОБ, ФБ'!$J$65</f>
        <v>4971604.92</v>
      </c>
      <c r="L244" s="22">
        <f>'[1]Бюджет 2023-2025 МБ, ОБ, ФБ'!$Q$65</f>
        <v>5170475.4000000004</v>
      </c>
      <c r="M244" s="22">
        <f>'[1]Бюджет 2023-2025 МБ, ОБ, ФБ'!$R$65</f>
        <v>5377303.2400000002</v>
      </c>
      <c r="N244" s="197"/>
    </row>
    <row r="245" spans="1:14" ht="21.75" customHeight="1" x14ac:dyDescent="0.25">
      <c r="A245" s="111"/>
      <c r="B245" s="114"/>
      <c r="C245" s="116"/>
      <c r="D245" s="120"/>
      <c r="E245" s="117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197"/>
    </row>
    <row r="246" spans="1:14" ht="21.75" customHeight="1" x14ac:dyDescent="0.25">
      <c r="A246" s="153"/>
      <c r="B246" s="186" t="s">
        <v>142</v>
      </c>
      <c r="C246" s="159" t="s">
        <v>11</v>
      </c>
      <c r="D246" s="216" t="s">
        <v>42</v>
      </c>
      <c r="E246" s="159" t="s">
        <v>153</v>
      </c>
      <c r="F246" s="34" t="s">
        <v>14</v>
      </c>
      <c r="G246" s="35">
        <f t="shared" ref="G246:M246" si="73">G247+G248+G249</f>
        <v>4640995.75</v>
      </c>
      <c r="H246" s="35">
        <f t="shared" si="73"/>
        <v>600000</v>
      </c>
      <c r="I246" s="35">
        <f t="shared" si="73"/>
        <v>557000</v>
      </c>
      <c r="J246" s="35">
        <f t="shared" si="73"/>
        <v>550591.55000000005</v>
      </c>
      <c r="K246" s="35">
        <f t="shared" si="73"/>
        <v>1466702.1</v>
      </c>
      <c r="L246" s="35">
        <f>L247+L248+L249</f>
        <v>1466702.1</v>
      </c>
      <c r="M246" s="35">
        <f t="shared" si="73"/>
        <v>1466702.1</v>
      </c>
      <c r="N246" s="189"/>
    </row>
    <row r="247" spans="1:14" ht="21.75" customHeight="1" x14ac:dyDescent="0.25">
      <c r="A247" s="154"/>
      <c r="B247" s="187"/>
      <c r="C247" s="160"/>
      <c r="D247" s="217"/>
      <c r="E247" s="160"/>
      <c r="F247" s="34" t="s">
        <v>133</v>
      </c>
      <c r="G247" s="35">
        <f>H247+I247+J247+K247+M247</f>
        <v>4640995.75</v>
      </c>
      <c r="H247" s="35">
        <f t="shared" ref="H247:M247" si="74">H251+H259+H275+H279+H255+H263+H267+H271</f>
        <v>600000</v>
      </c>
      <c r="I247" s="35">
        <f t="shared" si="74"/>
        <v>557000</v>
      </c>
      <c r="J247" s="35">
        <f t="shared" si="74"/>
        <v>550591.55000000005</v>
      </c>
      <c r="K247" s="35">
        <f t="shared" si="74"/>
        <v>1466702.1</v>
      </c>
      <c r="L247" s="35">
        <f t="shared" si="74"/>
        <v>1466702.1</v>
      </c>
      <c r="M247" s="35">
        <f t="shared" si="74"/>
        <v>1466702.1</v>
      </c>
      <c r="N247" s="190"/>
    </row>
    <row r="248" spans="1:14" ht="21.75" customHeight="1" x14ac:dyDescent="0.25">
      <c r="A248" s="154"/>
      <c r="B248" s="187"/>
      <c r="C248" s="160"/>
      <c r="D248" s="217"/>
      <c r="E248" s="160"/>
      <c r="F248" s="34" t="s">
        <v>16</v>
      </c>
      <c r="G248" s="35">
        <f>H248+I248+J248+K248+M248</f>
        <v>0</v>
      </c>
      <c r="H248" s="35">
        <f t="shared" ref="H248:M249" si="75">H252+H260+H276+H280+H256+H264+H268+H272</f>
        <v>0</v>
      </c>
      <c r="I248" s="35">
        <f t="shared" si="75"/>
        <v>0</v>
      </c>
      <c r="J248" s="35">
        <f t="shared" si="75"/>
        <v>0</v>
      </c>
      <c r="K248" s="35">
        <f t="shared" si="75"/>
        <v>0</v>
      </c>
      <c r="L248" s="35">
        <f t="shared" si="75"/>
        <v>0</v>
      </c>
      <c r="M248" s="35">
        <f t="shared" si="75"/>
        <v>0</v>
      </c>
      <c r="N248" s="190"/>
    </row>
    <row r="249" spans="1:14" ht="21.75" customHeight="1" x14ac:dyDescent="0.25">
      <c r="A249" s="155"/>
      <c r="B249" s="188"/>
      <c r="C249" s="161"/>
      <c r="D249" s="218"/>
      <c r="E249" s="161"/>
      <c r="F249" s="34" t="s">
        <v>17</v>
      </c>
      <c r="G249" s="35">
        <f>H249+I249+J249+K249+M249</f>
        <v>0</v>
      </c>
      <c r="H249" s="35">
        <f t="shared" si="75"/>
        <v>0</v>
      </c>
      <c r="I249" s="35">
        <f t="shared" si="75"/>
        <v>0</v>
      </c>
      <c r="J249" s="35">
        <f t="shared" si="75"/>
        <v>0</v>
      </c>
      <c r="K249" s="35">
        <f t="shared" si="75"/>
        <v>0</v>
      </c>
      <c r="L249" s="35">
        <f t="shared" si="75"/>
        <v>0</v>
      </c>
      <c r="M249" s="35">
        <f t="shared" si="75"/>
        <v>0</v>
      </c>
      <c r="N249" s="191"/>
    </row>
    <row r="250" spans="1:14" ht="21.75" customHeight="1" x14ac:dyDescent="0.25">
      <c r="A250" s="109" t="s">
        <v>18</v>
      </c>
      <c r="B250" s="112" t="s">
        <v>104</v>
      </c>
      <c r="C250" s="115" t="s">
        <v>11</v>
      </c>
      <c r="D250" s="118" t="s">
        <v>42</v>
      </c>
      <c r="E250" s="115" t="s">
        <v>153</v>
      </c>
      <c r="F250" s="12" t="s">
        <v>14</v>
      </c>
      <c r="G250" s="22">
        <f t="shared" ref="G250:M250" si="76">G251+G252+G253</f>
        <v>952762.74</v>
      </c>
      <c r="H250" s="22">
        <f t="shared" si="76"/>
        <v>235000</v>
      </c>
      <c r="I250" s="22">
        <f t="shared" si="76"/>
        <v>197749.8</v>
      </c>
      <c r="J250" s="22">
        <f t="shared" si="76"/>
        <v>196012.94</v>
      </c>
      <c r="K250" s="22">
        <f t="shared" si="76"/>
        <v>162000</v>
      </c>
      <c r="L250" s="22">
        <f>L251+L252+L253</f>
        <v>162000</v>
      </c>
      <c r="M250" s="22">
        <f t="shared" si="76"/>
        <v>162000</v>
      </c>
      <c r="N250" s="200" t="s">
        <v>151</v>
      </c>
    </row>
    <row r="251" spans="1:14" ht="21.75" customHeight="1" x14ac:dyDescent="0.25">
      <c r="A251" s="110"/>
      <c r="B251" s="113"/>
      <c r="C251" s="116"/>
      <c r="D251" s="119"/>
      <c r="E251" s="116"/>
      <c r="F251" s="12" t="s">
        <v>133</v>
      </c>
      <c r="G251" s="22">
        <f>H251+I251+J251+K251+M251</f>
        <v>952762.74</v>
      </c>
      <c r="H251" s="22">
        <v>235000</v>
      </c>
      <c r="I251" s="22">
        <f>252000-I259-4250.2</f>
        <v>197749.8</v>
      </c>
      <c r="J251" s="22">
        <f>202000+[10]ИЦ!$F$19</f>
        <v>196012.94</v>
      </c>
      <c r="K251" s="22">
        <f>[11]Лист1!$E$13</f>
        <v>162000</v>
      </c>
      <c r="L251" s="22">
        <v>162000</v>
      </c>
      <c r="M251" s="22">
        <v>162000</v>
      </c>
      <c r="N251" s="200"/>
    </row>
    <row r="252" spans="1:14" ht="21.75" customHeight="1" x14ac:dyDescent="0.25">
      <c r="A252" s="110"/>
      <c r="B252" s="113"/>
      <c r="C252" s="116"/>
      <c r="D252" s="119"/>
      <c r="E252" s="116"/>
      <c r="F252" s="12" t="s">
        <v>16</v>
      </c>
      <c r="G252" s="22">
        <f>H252+I252+J252+K252+M252</f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00"/>
    </row>
    <row r="253" spans="1:14" ht="21.75" customHeight="1" x14ac:dyDescent="0.25">
      <c r="A253" s="111"/>
      <c r="B253" s="114"/>
      <c r="C253" s="116"/>
      <c r="D253" s="120"/>
      <c r="E253" s="117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00"/>
    </row>
    <row r="254" spans="1:14" ht="21.75" customHeight="1" x14ac:dyDescent="0.25">
      <c r="A254" s="115" t="s">
        <v>25</v>
      </c>
      <c r="B254" s="112" t="s">
        <v>105</v>
      </c>
      <c r="C254" s="115" t="s">
        <v>11</v>
      </c>
      <c r="D254" s="118" t="s">
        <v>42</v>
      </c>
      <c r="E254" s="115" t="s">
        <v>153</v>
      </c>
      <c r="F254" s="12" t="s">
        <v>14</v>
      </c>
      <c r="G254" s="22">
        <f t="shared" ref="G254:M254" si="77">G255+G256+G257</f>
        <v>538828.81000000006</v>
      </c>
      <c r="H254" s="22">
        <f t="shared" si="77"/>
        <v>125000</v>
      </c>
      <c r="I254" s="22">
        <f t="shared" si="77"/>
        <v>109250.2</v>
      </c>
      <c r="J254" s="22">
        <f t="shared" si="77"/>
        <v>104578.61</v>
      </c>
      <c r="K254" s="22">
        <f t="shared" si="77"/>
        <v>100000</v>
      </c>
      <c r="L254" s="22">
        <f>L255+L256+L257</f>
        <v>100000</v>
      </c>
      <c r="M254" s="22">
        <f t="shared" si="77"/>
        <v>100000</v>
      </c>
      <c r="N254" s="200"/>
    </row>
    <row r="255" spans="1:14" ht="21.75" customHeight="1" x14ac:dyDescent="0.25">
      <c r="A255" s="116"/>
      <c r="B255" s="113"/>
      <c r="C255" s="116"/>
      <c r="D255" s="119"/>
      <c r="E255" s="116"/>
      <c r="F255" s="12" t="s">
        <v>133</v>
      </c>
      <c r="G255" s="22">
        <f>H255+I255+J255+K255+M255</f>
        <v>538828.81000000006</v>
      </c>
      <c r="H255" s="22">
        <v>125000</v>
      </c>
      <c r="I255" s="22">
        <f>105000+4250.2</f>
        <v>109250.2</v>
      </c>
      <c r="J255" s="22">
        <f>105000-421.39</f>
        <v>104578.61</v>
      </c>
      <c r="K255" s="22">
        <f>[11]Лист1!$E$11</f>
        <v>100000</v>
      </c>
      <c r="L255" s="22">
        <v>100000</v>
      </c>
      <c r="M255" s="22">
        <v>100000</v>
      </c>
      <c r="N255" s="200"/>
    </row>
    <row r="256" spans="1:14" ht="21.75" customHeight="1" x14ac:dyDescent="0.25">
      <c r="A256" s="116"/>
      <c r="B256" s="113"/>
      <c r="C256" s="116"/>
      <c r="D256" s="119"/>
      <c r="E256" s="116"/>
      <c r="F256" s="12" t="s">
        <v>16</v>
      </c>
      <c r="G256" s="22">
        <f>H256+I256+J256+K256+M256</f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00"/>
    </row>
    <row r="257" spans="1:14" ht="21.75" customHeight="1" x14ac:dyDescent="0.25">
      <c r="A257" s="117"/>
      <c r="B257" s="114"/>
      <c r="C257" s="116"/>
      <c r="D257" s="120"/>
      <c r="E257" s="117"/>
      <c r="F257" s="12" t="s">
        <v>17</v>
      </c>
      <c r="G257" s="22">
        <f>H257+I257+J257+K257+M257</f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00"/>
    </row>
    <row r="258" spans="1:14" ht="21.75" customHeight="1" x14ac:dyDescent="0.25">
      <c r="A258" s="109" t="s">
        <v>44</v>
      </c>
      <c r="B258" s="112" t="s">
        <v>107</v>
      </c>
      <c r="C258" s="115" t="s">
        <v>11</v>
      </c>
      <c r="D258" s="118" t="s">
        <v>42</v>
      </c>
      <c r="E258" s="115" t="s">
        <v>153</v>
      </c>
      <c r="F258" s="12" t="s">
        <v>14</v>
      </c>
      <c r="G258" s="22">
        <f t="shared" ref="G258:M258" si="78">G259+G260+G261</f>
        <v>260000</v>
      </c>
      <c r="H258" s="22">
        <f t="shared" si="78"/>
        <v>40000</v>
      </c>
      <c r="I258" s="22">
        <f t="shared" si="78"/>
        <v>50000</v>
      </c>
      <c r="J258" s="22">
        <f t="shared" si="78"/>
        <v>50000</v>
      </c>
      <c r="K258" s="22">
        <f t="shared" si="78"/>
        <v>60000</v>
      </c>
      <c r="L258" s="22">
        <f>L259+L260+L261</f>
        <v>60000</v>
      </c>
      <c r="M258" s="22">
        <f t="shared" si="78"/>
        <v>60000</v>
      </c>
      <c r="N258" s="200"/>
    </row>
    <row r="259" spans="1:14" ht="21.75" customHeight="1" x14ac:dyDescent="0.25">
      <c r="A259" s="110"/>
      <c r="B259" s="113"/>
      <c r="C259" s="116"/>
      <c r="D259" s="119"/>
      <c r="E259" s="116"/>
      <c r="F259" s="12" t="s">
        <v>133</v>
      </c>
      <c r="G259" s="22">
        <f>H259+I259+J259+K259+M259</f>
        <v>260000</v>
      </c>
      <c r="H259" s="22">
        <v>40000</v>
      </c>
      <c r="I259" s="22">
        <v>50000</v>
      </c>
      <c r="J259" s="22">
        <v>50000</v>
      </c>
      <c r="K259" s="22">
        <f>[11]Лист1!$F$9</f>
        <v>60000</v>
      </c>
      <c r="L259" s="22">
        <v>60000</v>
      </c>
      <c r="M259" s="22">
        <v>60000</v>
      </c>
      <c r="N259" s="200"/>
    </row>
    <row r="260" spans="1:14" ht="21.75" customHeight="1" x14ac:dyDescent="0.25">
      <c r="A260" s="110"/>
      <c r="B260" s="113"/>
      <c r="C260" s="116"/>
      <c r="D260" s="119"/>
      <c r="E260" s="116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00"/>
    </row>
    <row r="261" spans="1:14" ht="21.75" customHeight="1" x14ac:dyDescent="0.25">
      <c r="A261" s="111"/>
      <c r="B261" s="114"/>
      <c r="C261" s="116"/>
      <c r="D261" s="120"/>
      <c r="E261" s="117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00"/>
    </row>
    <row r="262" spans="1:14" ht="21.75" customHeight="1" x14ac:dyDescent="0.25">
      <c r="A262" s="115" t="s">
        <v>78</v>
      </c>
      <c r="B262" s="112" t="s">
        <v>132</v>
      </c>
      <c r="C262" s="115" t="s">
        <v>11</v>
      </c>
      <c r="D262" s="127" t="s">
        <v>37</v>
      </c>
      <c r="E262" s="115" t="s">
        <v>153</v>
      </c>
      <c r="F262" s="12" t="s">
        <v>14</v>
      </c>
      <c r="G262" s="22">
        <f t="shared" ref="G262:M262" si="79">G263+G264+G265</f>
        <v>2000000</v>
      </c>
      <c r="H262" s="22">
        <f t="shared" si="79"/>
        <v>200000</v>
      </c>
      <c r="I262" s="22">
        <f t="shared" si="79"/>
        <v>200000</v>
      </c>
      <c r="J262" s="22">
        <f t="shared" si="79"/>
        <v>200000</v>
      </c>
      <c r="K262" s="22">
        <f t="shared" si="79"/>
        <v>700000</v>
      </c>
      <c r="L262" s="22">
        <f t="shared" si="79"/>
        <v>700000</v>
      </c>
      <c r="M262" s="22">
        <f t="shared" si="79"/>
        <v>700000</v>
      </c>
      <c r="N262" s="200"/>
    </row>
    <row r="263" spans="1:14" ht="21.75" customHeight="1" x14ac:dyDescent="0.25">
      <c r="A263" s="116"/>
      <c r="B263" s="113"/>
      <c r="C263" s="116"/>
      <c r="D263" s="128"/>
      <c r="E263" s="116"/>
      <c r="F263" s="12" t="s">
        <v>133</v>
      </c>
      <c r="G263" s="22">
        <f>H263+I263+J263+K263+M263</f>
        <v>2000000</v>
      </c>
      <c r="H263" s="22">
        <v>200000</v>
      </c>
      <c r="I263" s="22">
        <v>200000</v>
      </c>
      <c r="J263" s="22">
        <v>200000</v>
      </c>
      <c r="K263" s="22">
        <f>[11]Лист1!$C$26+[11]Лист1!$E$11+[11]Лист1!$F$24</f>
        <v>700000</v>
      </c>
      <c r="L263" s="22">
        <v>700000</v>
      </c>
      <c r="M263" s="22">
        <v>700000</v>
      </c>
      <c r="N263" s="200"/>
    </row>
    <row r="264" spans="1:14" ht="21.75" customHeight="1" x14ac:dyDescent="0.25">
      <c r="A264" s="116"/>
      <c r="B264" s="113"/>
      <c r="C264" s="116"/>
      <c r="D264" s="128"/>
      <c r="E264" s="116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00"/>
    </row>
    <row r="265" spans="1:14" ht="21.75" customHeight="1" x14ac:dyDescent="0.25">
      <c r="A265" s="117"/>
      <c r="B265" s="114"/>
      <c r="C265" s="116"/>
      <c r="D265" s="129"/>
      <c r="E265" s="117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00"/>
    </row>
    <row r="266" spans="1:14" ht="21.75" customHeight="1" x14ac:dyDescent="0.25">
      <c r="A266" s="124" t="s">
        <v>94</v>
      </c>
      <c r="B266" s="112" t="s">
        <v>41</v>
      </c>
      <c r="C266" s="115" t="s">
        <v>11</v>
      </c>
      <c r="D266" s="118" t="s">
        <v>42</v>
      </c>
      <c r="E266" s="115" t="s">
        <v>153</v>
      </c>
      <c r="F266" s="12" t="s">
        <v>14</v>
      </c>
      <c r="G266" s="22">
        <f t="shared" ref="G266:M266" si="80">G267+G268+G269</f>
        <v>889404.2</v>
      </c>
      <c r="H266" s="22">
        <f t="shared" si="80"/>
        <v>0</v>
      </c>
      <c r="I266" s="22">
        <f t="shared" si="80"/>
        <v>0</v>
      </c>
      <c r="J266" s="22">
        <f t="shared" si="80"/>
        <v>0</v>
      </c>
      <c r="K266" s="22">
        <f t="shared" si="80"/>
        <v>444702.1</v>
      </c>
      <c r="L266" s="22">
        <f t="shared" si="80"/>
        <v>444702.1</v>
      </c>
      <c r="M266" s="22">
        <f t="shared" si="80"/>
        <v>444702.1</v>
      </c>
      <c r="N266" s="200"/>
    </row>
    <row r="267" spans="1:14" ht="21.75" customHeight="1" x14ac:dyDescent="0.25">
      <c r="A267" s="125"/>
      <c r="B267" s="113"/>
      <c r="C267" s="116"/>
      <c r="D267" s="119"/>
      <c r="E267" s="116"/>
      <c r="F267" s="12" t="s">
        <v>133</v>
      </c>
      <c r="G267" s="22">
        <f>H267+I267+J267+K267+M267</f>
        <v>889404.2</v>
      </c>
      <c r="H267" s="22"/>
      <c r="I267" s="22"/>
      <c r="J267" s="22">
        <v>0</v>
      </c>
      <c r="K267" s="22">
        <f>'[1]Бюджет 2023-2025 местн'!$J$46</f>
        <v>444702.1</v>
      </c>
      <c r="L267" s="22">
        <v>444702.1</v>
      </c>
      <c r="M267" s="22">
        <v>444702.1</v>
      </c>
      <c r="N267" s="200"/>
    </row>
    <row r="268" spans="1:14" ht="21.75" customHeight="1" x14ac:dyDescent="0.25">
      <c r="A268" s="125"/>
      <c r="B268" s="113"/>
      <c r="C268" s="116"/>
      <c r="D268" s="119"/>
      <c r="E268" s="116"/>
      <c r="F268" s="12" t="s">
        <v>16</v>
      </c>
      <c r="G268" s="22">
        <f>H268+I268+J268+K268+M268</f>
        <v>0</v>
      </c>
      <c r="H268" s="22"/>
      <c r="I268" s="22"/>
      <c r="J268" s="22">
        <v>0</v>
      </c>
      <c r="K268" s="22">
        <v>0</v>
      </c>
      <c r="L268" s="22">
        <v>0</v>
      </c>
      <c r="M268" s="22">
        <v>0</v>
      </c>
      <c r="N268" s="200"/>
    </row>
    <row r="269" spans="1:14" ht="21.75" customHeight="1" x14ac:dyDescent="0.25">
      <c r="A269" s="126"/>
      <c r="B269" s="114"/>
      <c r="C269" s="116"/>
      <c r="D269" s="120"/>
      <c r="E269" s="117"/>
      <c r="F269" s="12" t="s">
        <v>17</v>
      </c>
      <c r="G269" s="22">
        <f>H269+I269+J269+K269+M269</f>
        <v>0</v>
      </c>
      <c r="H269" s="22"/>
      <c r="I269" s="22"/>
      <c r="J269" s="22">
        <v>0</v>
      </c>
      <c r="K269" s="22">
        <v>0</v>
      </c>
      <c r="L269" s="22">
        <v>0</v>
      </c>
      <c r="M269" s="22">
        <v>0</v>
      </c>
      <c r="N269" s="200"/>
    </row>
    <row r="270" spans="1:14" ht="21.75" hidden="1" customHeight="1" outlineLevel="1" x14ac:dyDescent="0.25">
      <c r="A270" s="109" t="s">
        <v>106</v>
      </c>
      <c r="B270" s="112" t="s">
        <v>103</v>
      </c>
      <c r="C270" s="115" t="s">
        <v>11</v>
      </c>
      <c r="D270" s="115"/>
      <c r="E270" s="115" t="s">
        <v>153</v>
      </c>
      <c r="F270" s="12" t="s">
        <v>14</v>
      </c>
      <c r="G270" s="22">
        <f t="shared" ref="G270:M270" si="81">G271+G272+G273</f>
        <v>0</v>
      </c>
      <c r="H270" s="22">
        <f t="shared" si="81"/>
        <v>0</v>
      </c>
      <c r="I270" s="22">
        <f t="shared" si="81"/>
        <v>0</v>
      </c>
      <c r="J270" s="22">
        <f t="shared" si="81"/>
        <v>0</v>
      </c>
      <c r="K270" s="22">
        <f t="shared" si="81"/>
        <v>0</v>
      </c>
      <c r="L270" s="22">
        <f>L271+L272+L273</f>
        <v>0</v>
      </c>
      <c r="M270" s="22">
        <f t="shared" si="81"/>
        <v>0</v>
      </c>
      <c r="N270" s="200"/>
    </row>
    <row r="271" spans="1:14" ht="21.75" hidden="1" customHeight="1" outlineLevel="1" x14ac:dyDescent="0.25">
      <c r="A271" s="110"/>
      <c r="B271" s="113"/>
      <c r="C271" s="116"/>
      <c r="D271" s="116"/>
      <c r="E271" s="116"/>
      <c r="F271" s="12" t="s">
        <v>15</v>
      </c>
      <c r="G271" s="22">
        <f>H271+I271+J271+K271+M271</f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00"/>
    </row>
    <row r="272" spans="1:14" ht="21.75" hidden="1" customHeight="1" outlineLevel="1" x14ac:dyDescent="0.25">
      <c r="A272" s="110"/>
      <c r="B272" s="113"/>
      <c r="C272" s="116"/>
      <c r="D272" s="116"/>
      <c r="E272" s="116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00"/>
    </row>
    <row r="273" spans="1:14" ht="21.75" hidden="1" customHeight="1" outlineLevel="1" x14ac:dyDescent="0.25">
      <c r="A273" s="111"/>
      <c r="B273" s="114"/>
      <c r="C273" s="116"/>
      <c r="D273" s="117"/>
      <c r="E273" s="117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00"/>
    </row>
    <row r="274" spans="1:14" ht="21.75" hidden="1" customHeight="1" outlineLevel="1" x14ac:dyDescent="0.25">
      <c r="A274" s="109" t="s">
        <v>108</v>
      </c>
      <c r="B274" s="112" t="s">
        <v>109</v>
      </c>
      <c r="C274" s="115" t="s">
        <v>11</v>
      </c>
      <c r="D274" s="115"/>
      <c r="E274" s="115" t="s">
        <v>153</v>
      </c>
      <c r="F274" s="12" t="s">
        <v>14</v>
      </c>
      <c r="G274" s="22">
        <f t="shared" ref="G274:M274" si="82">G275+G276+G277</f>
        <v>0</v>
      </c>
      <c r="H274" s="22">
        <f t="shared" si="82"/>
        <v>0</v>
      </c>
      <c r="I274" s="22">
        <f t="shared" si="82"/>
        <v>0</v>
      </c>
      <c r="J274" s="22">
        <f t="shared" si="82"/>
        <v>0</v>
      </c>
      <c r="K274" s="22">
        <f t="shared" si="82"/>
        <v>0</v>
      </c>
      <c r="L274" s="22">
        <f>L275+L276+L277</f>
        <v>0</v>
      </c>
      <c r="M274" s="22">
        <f t="shared" si="82"/>
        <v>0</v>
      </c>
      <c r="N274" s="200"/>
    </row>
    <row r="275" spans="1:14" ht="21.75" hidden="1" customHeight="1" outlineLevel="1" x14ac:dyDescent="0.25">
      <c r="A275" s="110"/>
      <c r="B275" s="113"/>
      <c r="C275" s="116"/>
      <c r="D275" s="116"/>
      <c r="E275" s="116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00"/>
    </row>
    <row r="276" spans="1:14" ht="21.75" hidden="1" customHeight="1" outlineLevel="1" x14ac:dyDescent="0.25">
      <c r="A276" s="110"/>
      <c r="B276" s="113"/>
      <c r="C276" s="116"/>
      <c r="D276" s="116"/>
      <c r="E276" s="116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00"/>
    </row>
    <row r="277" spans="1:14" ht="21.75" hidden="1" customHeight="1" outlineLevel="1" x14ac:dyDescent="0.25">
      <c r="A277" s="111"/>
      <c r="B277" s="114"/>
      <c r="C277" s="116"/>
      <c r="D277" s="117"/>
      <c r="E277" s="117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00"/>
    </row>
    <row r="278" spans="1:14" ht="21.75" hidden="1" customHeight="1" outlineLevel="1" x14ac:dyDescent="0.25">
      <c r="A278" s="51"/>
      <c r="B278" s="112" t="s">
        <v>110</v>
      </c>
      <c r="C278" s="115" t="s">
        <v>11</v>
      </c>
      <c r="D278" s="115"/>
      <c r="E278" s="115" t="s">
        <v>153</v>
      </c>
      <c r="F278" s="12" t="s">
        <v>14</v>
      </c>
      <c r="G278" s="22">
        <f t="shared" ref="G278:M278" si="83">G279+G280+G281</f>
        <v>0</v>
      </c>
      <c r="H278" s="22">
        <f t="shared" si="83"/>
        <v>0</v>
      </c>
      <c r="I278" s="22">
        <f t="shared" si="83"/>
        <v>0</v>
      </c>
      <c r="J278" s="22">
        <f t="shared" si="83"/>
        <v>0</v>
      </c>
      <c r="K278" s="22">
        <f t="shared" si="83"/>
        <v>0</v>
      </c>
      <c r="L278" s="22">
        <f>L279+L280+L281</f>
        <v>0</v>
      </c>
      <c r="M278" s="22">
        <f t="shared" si="83"/>
        <v>0</v>
      </c>
      <c r="N278" s="200"/>
    </row>
    <row r="279" spans="1:14" ht="21.75" hidden="1" customHeight="1" outlineLevel="1" x14ac:dyDescent="0.25">
      <c r="A279" s="51" t="s">
        <v>111</v>
      </c>
      <c r="B279" s="113"/>
      <c r="C279" s="116"/>
      <c r="D279" s="116"/>
      <c r="E279" s="116"/>
      <c r="F279" s="12" t="s">
        <v>15</v>
      </c>
      <c r="G279" s="23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00"/>
    </row>
    <row r="280" spans="1:14" ht="21.75" hidden="1" customHeight="1" outlineLevel="1" x14ac:dyDescent="0.25">
      <c r="A280" s="51"/>
      <c r="B280" s="113"/>
      <c r="C280" s="116"/>
      <c r="D280" s="116"/>
      <c r="E280" s="116"/>
      <c r="F280" s="12" t="s">
        <v>16</v>
      </c>
      <c r="G280" s="23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00"/>
    </row>
    <row r="281" spans="1:14" ht="21.75" hidden="1" customHeight="1" outlineLevel="1" x14ac:dyDescent="0.25">
      <c r="A281" s="51"/>
      <c r="B281" s="114"/>
      <c r="C281" s="116"/>
      <c r="D281" s="117"/>
      <c r="E281" s="117"/>
      <c r="F281" s="12" t="s">
        <v>17</v>
      </c>
      <c r="G281" s="23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01"/>
    </row>
    <row r="282" spans="1:14" ht="21.75" customHeight="1" collapsed="1" x14ac:dyDescent="0.25">
      <c r="A282" s="153">
        <v>5</v>
      </c>
      <c r="B282" s="186" t="s">
        <v>139</v>
      </c>
      <c r="C282" s="159" t="s">
        <v>11</v>
      </c>
      <c r="D282" s="40"/>
      <c r="E282" s="159" t="s">
        <v>153</v>
      </c>
      <c r="F282" s="34" t="s">
        <v>14</v>
      </c>
      <c r="G282" s="35">
        <f>G283+G284+G285</f>
        <v>81305857.289999992</v>
      </c>
      <c r="H282" s="35">
        <f t="shared" ref="H282:M282" si="84">H283+H284+H285</f>
        <v>13370422.130000001</v>
      </c>
      <c r="I282" s="35">
        <f t="shared" si="84"/>
        <v>13699325.029999999</v>
      </c>
      <c r="J282" s="35">
        <f t="shared" si="84"/>
        <v>14738271</v>
      </c>
      <c r="K282" s="35">
        <f t="shared" si="84"/>
        <v>19001218.359999999</v>
      </c>
      <c r="L282" s="35">
        <f>L283+L284+L285</f>
        <v>19734258.760000002</v>
      </c>
      <c r="M282" s="35">
        <f t="shared" si="84"/>
        <v>20496620.77</v>
      </c>
      <c r="N282" s="52"/>
    </row>
    <row r="283" spans="1:14" ht="21.75" customHeight="1" x14ac:dyDescent="0.25">
      <c r="A283" s="154"/>
      <c r="B283" s="187"/>
      <c r="C283" s="160"/>
      <c r="D283" s="41"/>
      <c r="E283" s="160"/>
      <c r="F283" s="34" t="s">
        <v>133</v>
      </c>
      <c r="G283" s="35">
        <f>H283+I283+J283+K283+M283</f>
        <v>81305857.289999992</v>
      </c>
      <c r="H283" s="35">
        <f t="shared" ref="H283:M285" si="85">H287</f>
        <v>13370422.130000001</v>
      </c>
      <c r="I283" s="35">
        <f t="shared" si="85"/>
        <v>13699325.029999999</v>
      </c>
      <c r="J283" s="35">
        <f t="shared" si="85"/>
        <v>14738271</v>
      </c>
      <c r="K283" s="35">
        <f t="shared" si="85"/>
        <v>19001218.359999999</v>
      </c>
      <c r="L283" s="35">
        <f t="shared" si="85"/>
        <v>19734258.760000002</v>
      </c>
      <c r="M283" s="35">
        <f t="shared" si="85"/>
        <v>20496620.77</v>
      </c>
      <c r="N283" s="52"/>
    </row>
    <row r="284" spans="1:14" ht="21.75" customHeight="1" x14ac:dyDescent="0.25">
      <c r="A284" s="154"/>
      <c r="B284" s="187"/>
      <c r="C284" s="160"/>
      <c r="D284" s="41"/>
      <c r="E284" s="160"/>
      <c r="F284" s="34" t="s">
        <v>16</v>
      </c>
      <c r="G284" s="35">
        <f>H284+I284+J284+K284+M284</f>
        <v>0</v>
      </c>
      <c r="H284" s="35">
        <f t="shared" si="85"/>
        <v>0</v>
      </c>
      <c r="I284" s="35">
        <f t="shared" si="85"/>
        <v>0</v>
      </c>
      <c r="J284" s="35">
        <f t="shared" si="85"/>
        <v>0</v>
      </c>
      <c r="K284" s="35">
        <f t="shared" si="85"/>
        <v>0</v>
      </c>
      <c r="L284" s="35">
        <f>L288</f>
        <v>0</v>
      </c>
      <c r="M284" s="35">
        <f t="shared" si="85"/>
        <v>0</v>
      </c>
      <c r="N284" s="52"/>
    </row>
    <row r="285" spans="1:14" ht="21.75" customHeight="1" x14ac:dyDescent="0.25">
      <c r="A285" s="155"/>
      <c r="B285" s="188"/>
      <c r="C285" s="161"/>
      <c r="D285" s="42"/>
      <c r="E285" s="161"/>
      <c r="F285" s="34" t="s">
        <v>17</v>
      </c>
      <c r="G285" s="35">
        <f>H285+I285+J285+K285+M285</f>
        <v>0</v>
      </c>
      <c r="H285" s="35">
        <f t="shared" si="85"/>
        <v>0</v>
      </c>
      <c r="I285" s="35">
        <f t="shared" si="85"/>
        <v>0</v>
      </c>
      <c r="J285" s="35">
        <f t="shared" si="85"/>
        <v>0</v>
      </c>
      <c r="K285" s="35">
        <f t="shared" si="85"/>
        <v>0</v>
      </c>
      <c r="L285" s="35">
        <f>L289</f>
        <v>0</v>
      </c>
      <c r="M285" s="35">
        <f t="shared" si="85"/>
        <v>0</v>
      </c>
      <c r="N285" s="52"/>
    </row>
    <row r="286" spans="1:14" ht="21.75" customHeight="1" x14ac:dyDescent="0.25">
      <c r="A286" s="109" t="s">
        <v>18</v>
      </c>
      <c r="B286" s="112" t="s">
        <v>140</v>
      </c>
      <c r="C286" s="115" t="s">
        <v>11</v>
      </c>
      <c r="D286" s="115" t="s">
        <v>113</v>
      </c>
      <c r="E286" s="115" t="s">
        <v>153</v>
      </c>
      <c r="F286" s="12" t="s">
        <v>14</v>
      </c>
      <c r="G286" s="22">
        <f t="shared" ref="G286:M286" si="86">G287+G288+G289</f>
        <v>81305857.289999992</v>
      </c>
      <c r="H286" s="22">
        <f t="shared" si="86"/>
        <v>13370422.130000001</v>
      </c>
      <c r="I286" s="22">
        <f t="shared" si="86"/>
        <v>13699325.029999999</v>
      </c>
      <c r="J286" s="22">
        <f t="shared" si="86"/>
        <v>14738271</v>
      </c>
      <c r="K286" s="22">
        <f t="shared" si="86"/>
        <v>19001218.359999999</v>
      </c>
      <c r="L286" s="22">
        <f>L287+L288+L289</f>
        <v>19734258.760000002</v>
      </c>
      <c r="M286" s="22">
        <f t="shared" si="86"/>
        <v>20496620.77</v>
      </c>
      <c r="N286" s="146" t="s">
        <v>114</v>
      </c>
    </row>
    <row r="287" spans="1:14" ht="21.75" customHeight="1" x14ac:dyDescent="0.25">
      <c r="A287" s="110"/>
      <c r="B287" s="113"/>
      <c r="C287" s="116"/>
      <c r="D287" s="116"/>
      <c r="E287" s="116"/>
      <c r="F287" s="12" t="s">
        <v>133</v>
      </c>
      <c r="G287" s="22">
        <f>H287+I287+J287+K287+M287</f>
        <v>81305857.289999992</v>
      </c>
      <c r="H287" s="22">
        <f>13390422.13-20000</f>
        <v>13370422.130000001</v>
      </c>
      <c r="I287" s="22">
        <v>13699325.029999999</v>
      </c>
      <c r="J287" s="48">
        <f>14153616+449044+135611</f>
        <v>14738271</v>
      </c>
      <c r="K287" s="22">
        <f>'[1]Бюджет 2023-2025 местн'!$J$69+'[1]Бюджет 2023-2025 местн'!$J$70+'[1]Бюджет 2023-2025 местн'!$J$71+'[1]Бюджет 2023-2025 местн'!$J$72</f>
        <v>19001218.359999999</v>
      </c>
      <c r="L287" s="22">
        <v>19734258.760000002</v>
      </c>
      <c r="M287" s="22">
        <v>20496620.77</v>
      </c>
      <c r="N287" s="147"/>
    </row>
    <row r="288" spans="1:14" ht="21.75" customHeight="1" x14ac:dyDescent="0.25">
      <c r="A288" s="110"/>
      <c r="B288" s="113"/>
      <c r="C288" s="116"/>
      <c r="D288" s="116"/>
      <c r="E288" s="116"/>
      <c r="F288" s="12" t="s">
        <v>16</v>
      </c>
      <c r="G288" s="22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147"/>
    </row>
    <row r="289" spans="1:14" ht="21.75" customHeight="1" x14ac:dyDescent="0.25">
      <c r="A289" s="111"/>
      <c r="B289" s="114"/>
      <c r="C289" s="117"/>
      <c r="D289" s="117"/>
      <c r="E289" s="117"/>
      <c r="F289" s="12" t="s">
        <v>17</v>
      </c>
      <c r="G289" s="22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147"/>
    </row>
    <row r="290" spans="1:14" ht="23.25" hidden="1" customHeight="1" outlineLevel="1" x14ac:dyDescent="0.25">
      <c r="A290" s="153">
        <v>6</v>
      </c>
      <c r="B290" s="186" t="s">
        <v>123</v>
      </c>
      <c r="C290" s="159" t="s">
        <v>11</v>
      </c>
      <c r="D290" s="40"/>
      <c r="E290" s="159" t="s">
        <v>13</v>
      </c>
      <c r="F290" s="34" t="s">
        <v>14</v>
      </c>
      <c r="G290" s="35">
        <f t="shared" ref="G290:M290" si="87">G291+G292+G293</f>
        <v>0</v>
      </c>
      <c r="H290" s="35">
        <f t="shared" si="87"/>
        <v>0</v>
      </c>
      <c r="I290" s="35">
        <f t="shared" si="87"/>
        <v>0</v>
      </c>
      <c r="J290" s="35">
        <f t="shared" si="87"/>
        <v>0</v>
      </c>
      <c r="K290" s="35">
        <f t="shared" si="87"/>
        <v>0</v>
      </c>
      <c r="L290" s="35">
        <f>L291+L292+L293</f>
        <v>0</v>
      </c>
      <c r="M290" s="35">
        <f t="shared" si="87"/>
        <v>0</v>
      </c>
      <c r="N290" s="52"/>
    </row>
    <row r="291" spans="1:14" ht="23.25" hidden="1" customHeight="1" outlineLevel="1" x14ac:dyDescent="0.25">
      <c r="A291" s="154"/>
      <c r="B291" s="198"/>
      <c r="C291" s="160"/>
      <c r="D291" s="41"/>
      <c r="E291" s="160"/>
      <c r="F291" s="34" t="s">
        <v>15</v>
      </c>
      <c r="G291" s="35">
        <f>H291+I291+J291+K291+M291</f>
        <v>0</v>
      </c>
      <c r="H291" s="35">
        <f t="shared" ref="H291:M293" si="88">H295</f>
        <v>0</v>
      </c>
      <c r="I291" s="35">
        <f t="shared" si="88"/>
        <v>0</v>
      </c>
      <c r="J291" s="35">
        <f t="shared" si="88"/>
        <v>0</v>
      </c>
      <c r="K291" s="35">
        <f t="shared" si="88"/>
        <v>0</v>
      </c>
      <c r="L291" s="35">
        <f>L295</f>
        <v>0</v>
      </c>
      <c r="M291" s="35">
        <f t="shared" si="88"/>
        <v>0</v>
      </c>
      <c r="N291" s="52"/>
    </row>
    <row r="292" spans="1:14" ht="23.25" hidden="1" customHeight="1" outlineLevel="1" x14ac:dyDescent="0.25">
      <c r="A292" s="154"/>
      <c r="B292" s="198"/>
      <c r="C292" s="160"/>
      <c r="D292" s="41"/>
      <c r="E292" s="160"/>
      <c r="F292" s="34" t="s">
        <v>16</v>
      </c>
      <c r="G292" s="35">
        <f>H292+I292+J292+K292+M292</f>
        <v>0</v>
      </c>
      <c r="H292" s="35">
        <f t="shared" si="88"/>
        <v>0</v>
      </c>
      <c r="I292" s="35">
        <f t="shared" si="88"/>
        <v>0</v>
      </c>
      <c r="J292" s="35">
        <f t="shared" si="88"/>
        <v>0</v>
      </c>
      <c r="K292" s="35">
        <f t="shared" si="88"/>
        <v>0</v>
      </c>
      <c r="L292" s="35">
        <f>L296</f>
        <v>0</v>
      </c>
      <c r="M292" s="35">
        <f t="shared" si="88"/>
        <v>0</v>
      </c>
      <c r="N292" s="52"/>
    </row>
    <row r="293" spans="1:14" ht="27" hidden="1" customHeight="1" outlineLevel="1" x14ac:dyDescent="0.25">
      <c r="A293" s="155"/>
      <c r="B293" s="199"/>
      <c r="C293" s="161"/>
      <c r="D293" s="42"/>
      <c r="E293" s="161"/>
      <c r="F293" s="34" t="s">
        <v>17</v>
      </c>
      <c r="G293" s="35">
        <f>H293+I293+J293+K293+M293</f>
        <v>0</v>
      </c>
      <c r="H293" s="35">
        <f t="shared" si="88"/>
        <v>0</v>
      </c>
      <c r="I293" s="35">
        <f t="shared" si="88"/>
        <v>0</v>
      </c>
      <c r="J293" s="35">
        <f t="shared" si="88"/>
        <v>0</v>
      </c>
      <c r="K293" s="35">
        <f t="shared" si="88"/>
        <v>0</v>
      </c>
      <c r="L293" s="35">
        <f>L297</f>
        <v>0</v>
      </c>
      <c r="M293" s="35">
        <f t="shared" si="88"/>
        <v>0</v>
      </c>
      <c r="N293" s="52"/>
    </row>
    <row r="294" spans="1:14" ht="21.75" hidden="1" customHeight="1" outlineLevel="1" x14ac:dyDescent="0.25">
      <c r="A294" s="109" t="s">
        <v>124</v>
      </c>
      <c r="B294" s="112" t="s">
        <v>125</v>
      </c>
      <c r="C294" s="115" t="s">
        <v>11</v>
      </c>
      <c r="D294" s="115" t="s">
        <v>113</v>
      </c>
      <c r="E294" s="115" t="s">
        <v>13</v>
      </c>
      <c r="F294" s="12" t="s">
        <v>14</v>
      </c>
      <c r="G294" s="22">
        <f t="shared" ref="G294:M294" si="89">G295+G296+G297</f>
        <v>0</v>
      </c>
      <c r="H294" s="22">
        <f t="shared" si="89"/>
        <v>0</v>
      </c>
      <c r="I294" s="22">
        <f t="shared" si="89"/>
        <v>0</v>
      </c>
      <c r="J294" s="22">
        <f t="shared" si="89"/>
        <v>0</v>
      </c>
      <c r="K294" s="22">
        <f t="shared" si="89"/>
        <v>0</v>
      </c>
      <c r="L294" s="22">
        <f>L295+L296+L297</f>
        <v>0</v>
      </c>
      <c r="M294" s="22">
        <f t="shared" si="89"/>
        <v>0</v>
      </c>
      <c r="N294" s="184" t="s">
        <v>126</v>
      </c>
    </row>
    <row r="295" spans="1:14" ht="21.75" hidden="1" customHeight="1" outlineLevel="1" x14ac:dyDescent="0.25">
      <c r="A295" s="110"/>
      <c r="B295" s="113"/>
      <c r="C295" s="116"/>
      <c r="D295" s="116"/>
      <c r="E295" s="116"/>
      <c r="F295" s="12" t="s">
        <v>15</v>
      </c>
      <c r="G295" s="22">
        <f>H295+I295+J295+K295+M295</f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185"/>
    </row>
    <row r="296" spans="1:14" ht="21.75" hidden="1" customHeight="1" outlineLevel="1" x14ac:dyDescent="0.25">
      <c r="A296" s="110"/>
      <c r="B296" s="113"/>
      <c r="C296" s="116"/>
      <c r="D296" s="116"/>
      <c r="E296" s="116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85"/>
    </row>
    <row r="297" spans="1:14" ht="21.75" hidden="1" customHeight="1" outlineLevel="1" x14ac:dyDescent="0.25">
      <c r="A297" s="111"/>
      <c r="B297" s="114"/>
      <c r="C297" s="117"/>
      <c r="D297" s="117"/>
      <c r="E297" s="117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85"/>
    </row>
    <row r="298" spans="1:14" ht="21.75" hidden="1" customHeight="1" outlineLevel="1" x14ac:dyDescent="0.25">
      <c r="A298" s="153">
        <v>7</v>
      </c>
      <c r="B298" s="186" t="s">
        <v>127</v>
      </c>
      <c r="C298" s="159" t="s">
        <v>11</v>
      </c>
      <c r="D298" s="40"/>
      <c r="E298" s="159" t="s">
        <v>13</v>
      </c>
      <c r="F298" s="34" t="s">
        <v>14</v>
      </c>
      <c r="G298" s="35">
        <f t="shared" ref="G298:M298" si="90">G299+G300+G301</f>
        <v>0</v>
      </c>
      <c r="H298" s="35">
        <f t="shared" si="90"/>
        <v>0</v>
      </c>
      <c r="I298" s="35">
        <f t="shared" si="90"/>
        <v>0</v>
      </c>
      <c r="J298" s="35">
        <f t="shared" si="90"/>
        <v>0</v>
      </c>
      <c r="K298" s="35">
        <f t="shared" si="90"/>
        <v>0</v>
      </c>
      <c r="L298" s="35">
        <f>L299+L300+L301</f>
        <v>0</v>
      </c>
      <c r="M298" s="35">
        <f t="shared" si="90"/>
        <v>0</v>
      </c>
      <c r="N298" s="52"/>
    </row>
    <row r="299" spans="1:14" ht="21.75" hidden="1" customHeight="1" outlineLevel="1" x14ac:dyDescent="0.25">
      <c r="A299" s="154"/>
      <c r="B299" s="187"/>
      <c r="C299" s="160"/>
      <c r="D299" s="41"/>
      <c r="E299" s="160"/>
      <c r="F299" s="34" t="s">
        <v>15</v>
      </c>
      <c r="G299" s="35">
        <f>H299+I299+J299+K299+M299</f>
        <v>0</v>
      </c>
      <c r="H299" s="35">
        <f t="shared" ref="H299:M301" si="91">H303</f>
        <v>0</v>
      </c>
      <c r="I299" s="35">
        <f t="shared" si="91"/>
        <v>0</v>
      </c>
      <c r="J299" s="35">
        <f t="shared" si="91"/>
        <v>0</v>
      </c>
      <c r="K299" s="35">
        <f t="shared" si="91"/>
        <v>0</v>
      </c>
      <c r="L299" s="35">
        <f>L303</f>
        <v>0</v>
      </c>
      <c r="M299" s="35">
        <f t="shared" si="91"/>
        <v>0</v>
      </c>
      <c r="N299" s="52"/>
    </row>
    <row r="300" spans="1:14" ht="21.75" hidden="1" customHeight="1" outlineLevel="1" x14ac:dyDescent="0.25">
      <c r="A300" s="154"/>
      <c r="B300" s="187"/>
      <c r="C300" s="160"/>
      <c r="D300" s="41"/>
      <c r="E300" s="160"/>
      <c r="F300" s="34" t="s">
        <v>16</v>
      </c>
      <c r="G300" s="35">
        <f>H300+I300+J300+K300+M300</f>
        <v>0</v>
      </c>
      <c r="H300" s="35">
        <f t="shared" si="91"/>
        <v>0</v>
      </c>
      <c r="I300" s="35">
        <f t="shared" si="91"/>
        <v>0</v>
      </c>
      <c r="J300" s="35">
        <f t="shared" si="91"/>
        <v>0</v>
      </c>
      <c r="K300" s="35">
        <f t="shared" si="91"/>
        <v>0</v>
      </c>
      <c r="L300" s="35">
        <f>L304</f>
        <v>0</v>
      </c>
      <c r="M300" s="35">
        <f t="shared" si="91"/>
        <v>0</v>
      </c>
      <c r="N300" s="52"/>
    </row>
    <row r="301" spans="1:14" ht="21.75" hidden="1" customHeight="1" outlineLevel="1" x14ac:dyDescent="0.25">
      <c r="A301" s="155"/>
      <c r="B301" s="188"/>
      <c r="C301" s="161"/>
      <c r="D301" s="42"/>
      <c r="E301" s="161"/>
      <c r="F301" s="34" t="s">
        <v>17</v>
      </c>
      <c r="G301" s="35">
        <f>H301+I301+J301+K301+M301</f>
        <v>0</v>
      </c>
      <c r="H301" s="35">
        <f t="shared" si="91"/>
        <v>0</v>
      </c>
      <c r="I301" s="35">
        <f t="shared" si="91"/>
        <v>0</v>
      </c>
      <c r="J301" s="35">
        <f t="shared" si="91"/>
        <v>0</v>
      </c>
      <c r="K301" s="35">
        <f t="shared" si="91"/>
        <v>0</v>
      </c>
      <c r="L301" s="35">
        <f>L305</f>
        <v>0</v>
      </c>
      <c r="M301" s="35">
        <f t="shared" si="91"/>
        <v>0</v>
      </c>
      <c r="N301" s="52"/>
    </row>
    <row r="302" spans="1:14" ht="30.75" hidden="1" customHeight="1" outlineLevel="1" x14ac:dyDescent="0.25">
      <c r="A302" s="109" t="s">
        <v>128</v>
      </c>
      <c r="B302" s="112" t="s">
        <v>129</v>
      </c>
      <c r="C302" s="115" t="s">
        <v>11</v>
      </c>
      <c r="D302" s="115" t="s">
        <v>113</v>
      </c>
      <c r="E302" s="115" t="s">
        <v>13</v>
      </c>
      <c r="F302" s="12" t="s">
        <v>14</v>
      </c>
      <c r="G302" s="22">
        <f t="shared" ref="G302:M302" si="92">G303+G304+G305</f>
        <v>0</v>
      </c>
      <c r="H302" s="22">
        <f t="shared" si="92"/>
        <v>0</v>
      </c>
      <c r="I302" s="22">
        <f t="shared" si="92"/>
        <v>0</v>
      </c>
      <c r="J302" s="22">
        <f t="shared" si="92"/>
        <v>0</v>
      </c>
      <c r="K302" s="22">
        <f t="shared" si="92"/>
        <v>0</v>
      </c>
      <c r="L302" s="22">
        <f>L303+L304+L305</f>
        <v>0</v>
      </c>
      <c r="M302" s="22">
        <f t="shared" si="92"/>
        <v>0</v>
      </c>
      <c r="N302" s="202" t="s">
        <v>130</v>
      </c>
    </row>
    <row r="303" spans="1:14" ht="30.75" hidden="1" customHeight="1" outlineLevel="1" x14ac:dyDescent="0.25">
      <c r="A303" s="110"/>
      <c r="B303" s="113"/>
      <c r="C303" s="116"/>
      <c r="D303" s="116"/>
      <c r="E303" s="116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03"/>
    </row>
    <row r="304" spans="1:14" ht="30.75" hidden="1" customHeight="1" outlineLevel="1" x14ac:dyDescent="0.25">
      <c r="A304" s="110"/>
      <c r="B304" s="113"/>
      <c r="C304" s="116"/>
      <c r="D304" s="116"/>
      <c r="E304" s="116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03"/>
    </row>
    <row r="305" spans="1:41" ht="30.75" hidden="1" customHeight="1" outlineLevel="1" x14ac:dyDescent="0.25">
      <c r="A305" s="111"/>
      <c r="B305" s="114"/>
      <c r="C305" s="117"/>
      <c r="D305" s="117"/>
      <c r="E305" s="117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03"/>
    </row>
    <row r="306" spans="1:41" ht="21.75" customHeight="1" collapsed="1" x14ac:dyDescent="0.25">
      <c r="A306" s="204" t="s">
        <v>115</v>
      </c>
      <c r="B306" s="207" t="s">
        <v>116</v>
      </c>
      <c r="C306" s="208"/>
      <c r="D306" s="208"/>
      <c r="E306" s="209"/>
      <c r="F306" s="44" t="s">
        <v>14</v>
      </c>
      <c r="G306" s="45">
        <f t="shared" ref="G306:M306" si="93">G307+G308+G309</f>
        <v>5623825117.1973095</v>
      </c>
      <c r="H306" s="45">
        <f t="shared" si="93"/>
        <v>952111245</v>
      </c>
      <c r="I306" s="45">
        <f t="shared" si="93"/>
        <v>1061957868.36</v>
      </c>
      <c r="J306" s="45">
        <f t="shared" si="93"/>
        <v>1249365484.9299998</v>
      </c>
      <c r="K306" s="45">
        <f t="shared" si="93"/>
        <v>1169319019.97962</v>
      </c>
      <c r="L306" s="45">
        <f>L307+L308+L309</f>
        <v>1163152848.28124</v>
      </c>
      <c r="M306" s="45">
        <f t="shared" si="93"/>
        <v>1191071498.92769</v>
      </c>
      <c r="N306" s="52"/>
    </row>
    <row r="307" spans="1:41" ht="21.75" customHeight="1" x14ac:dyDescent="0.25">
      <c r="A307" s="205"/>
      <c r="B307" s="210"/>
      <c r="C307" s="211"/>
      <c r="D307" s="211"/>
      <c r="E307" s="212"/>
      <c r="F307" s="44" t="s">
        <v>133</v>
      </c>
      <c r="G307" s="45">
        <f>H307+I307+J307+K307+M307</f>
        <v>1498448570.50492</v>
      </c>
      <c r="H307" s="45">
        <f t="shared" ref="H307:M309" si="94">H299+H247+H223+H159+H11+H283+H291</f>
        <v>257261460.34999999</v>
      </c>
      <c r="I307" s="45">
        <f t="shared" si="94"/>
        <v>274006749.57000005</v>
      </c>
      <c r="J307" s="45">
        <f t="shared" si="94"/>
        <v>305893043.46000004</v>
      </c>
      <c r="K307" s="45">
        <f t="shared" si="94"/>
        <v>336232866.72790998</v>
      </c>
      <c r="L307" s="45">
        <f t="shared" si="94"/>
        <v>321802747.78999996</v>
      </c>
      <c r="M307" s="45">
        <f t="shared" si="94"/>
        <v>325054450.39700991</v>
      </c>
      <c r="N307" s="52"/>
    </row>
    <row r="308" spans="1:41" ht="21.75" customHeight="1" x14ac:dyDescent="0.25">
      <c r="A308" s="205"/>
      <c r="B308" s="210"/>
      <c r="C308" s="211"/>
      <c r="D308" s="211"/>
      <c r="E308" s="212"/>
      <c r="F308" s="44" t="s">
        <v>16</v>
      </c>
      <c r="G308" s="45">
        <f>H308+I308+J308+K308+M308</f>
        <v>3766144313.0804877</v>
      </c>
      <c r="H308" s="45">
        <f t="shared" si="94"/>
        <v>674427650.64999998</v>
      </c>
      <c r="I308" s="45">
        <f t="shared" si="94"/>
        <v>721973504.32999992</v>
      </c>
      <c r="J308" s="45">
        <f t="shared" si="94"/>
        <v>762876058.57999992</v>
      </c>
      <c r="K308" s="45">
        <f t="shared" si="94"/>
        <v>786598281.20980787</v>
      </c>
      <c r="L308" s="45">
        <f t="shared" si="94"/>
        <v>794994706.39124</v>
      </c>
      <c r="M308" s="45">
        <f t="shared" si="94"/>
        <v>820268818.31068003</v>
      </c>
      <c r="N308" s="52"/>
    </row>
    <row r="309" spans="1:41" ht="21.75" customHeight="1" x14ac:dyDescent="0.25">
      <c r="A309" s="206"/>
      <c r="B309" s="213"/>
      <c r="C309" s="214"/>
      <c r="D309" s="214"/>
      <c r="E309" s="215"/>
      <c r="F309" s="44" t="s">
        <v>17</v>
      </c>
      <c r="G309" s="45">
        <f>H309+I309+J309+K309+M309</f>
        <v>359232233.61190212</v>
      </c>
      <c r="H309" s="45">
        <f t="shared" si="94"/>
        <v>20422134</v>
      </c>
      <c r="I309" s="45">
        <f t="shared" si="94"/>
        <v>65977614.459999993</v>
      </c>
      <c r="J309" s="45">
        <f t="shared" si="94"/>
        <v>180596382.88999999</v>
      </c>
      <c r="K309" s="45">
        <f t="shared" si="94"/>
        <v>46487872.041902095</v>
      </c>
      <c r="L309" s="45">
        <f t="shared" si="94"/>
        <v>46355394.100000001</v>
      </c>
      <c r="M309" s="45">
        <f t="shared" si="94"/>
        <v>45748230.219999999</v>
      </c>
      <c r="N309" s="52"/>
    </row>
    <row r="310" spans="1:41" x14ac:dyDescent="0.25">
      <c r="I310" s="43">
        <f>'[12]остатки средств в ФК_9'!$R$101-1600000</f>
        <v>1061957868.36</v>
      </c>
      <c r="J310" s="43">
        <f>'[4]остатки средств в ФК_3'!$R$116</f>
        <v>1249365484.9300001</v>
      </c>
      <c r="K310" s="43">
        <f>'[13]Увед об измен (расх)'!Z78+'[13]Увед об измен (расх)'!Z79-'[13]Увед об измен (расх)'!Z74-'[13]Увед об измен (расх)'!Z20</f>
        <v>1169319019.98</v>
      </c>
      <c r="L310" s="43">
        <f>'[13]Увед об измен (расх)'!AA78+'[13]Увед об измен (расх)'!AA79-'[13]Увед об измен (расх)'!AA74-'[13]Увед об измен (расх)'!AA20</f>
        <v>1163152848.28</v>
      </c>
      <c r="M310" s="43">
        <f>'[13]Увед об измен (расх)'!AB78+'[13]Увед об измен (расх)'!AB79-'[13]Увед об измен (расх)'!AB74-'[13]Увед об измен (расх)'!AB20</f>
        <v>1191071498.9300001</v>
      </c>
    </row>
    <row r="311" spans="1:41" x14ac:dyDescent="0.25">
      <c r="I311" s="43">
        <f>I306-I310</f>
        <v>0</v>
      </c>
      <c r="J311" s="43">
        <f>J306-J310</f>
        <v>0</v>
      </c>
      <c r="K311" s="43">
        <f>K306-K310</f>
        <v>-3.8003921508789063E-4</v>
      </c>
      <c r="L311" s="43">
        <f>L306-L310</f>
        <v>1.2400150299072266E-3</v>
      </c>
      <c r="M311" s="43">
        <f>M306-M310</f>
        <v>-2.3100376129150391E-3</v>
      </c>
    </row>
    <row r="312" spans="1:41" x14ac:dyDescent="0.25">
      <c r="J312" s="30"/>
      <c r="L312" s="30"/>
      <c r="M312" s="30"/>
    </row>
    <row r="313" spans="1:41" s="17" customFormat="1" x14ac:dyDescent="0.25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 x14ac:dyDescent="0.25">
      <c r="J318" s="30"/>
      <c r="K318" s="30"/>
      <c r="L318" s="30"/>
      <c r="M318" s="30"/>
    </row>
  </sheetData>
  <mergeCells count="400">
    <mergeCell ref="N34:N93"/>
    <mergeCell ref="A198:A201"/>
    <mergeCell ref="B198:B201"/>
    <mergeCell ref="C198:C201"/>
    <mergeCell ref="D198:D201"/>
    <mergeCell ref="E198:E201"/>
    <mergeCell ref="A178:A181"/>
    <mergeCell ref="B178:B181"/>
    <mergeCell ref="C178:C181"/>
    <mergeCell ref="D178:D181"/>
    <mergeCell ref="E178:E181"/>
    <mergeCell ref="N154:N157"/>
    <mergeCell ref="A182:A185"/>
    <mergeCell ref="D194:D197"/>
    <mergeCell ref="E194:E197"/>
    <mergeCell ref="E182:E185"/>
    <mergeCell ref="A186:A189"/>
    <mergeCell ref="B186:B189"/>
    <mergeCell ref="C186:C189"/>
    <mergeCell ref="D186:D189"/>
    <mergeCell ref="E186:E189"/>
    <mergeCell ref="E166:E169"/>
    <mergeCell ref="A162:A165"/>
    <mergeCell ref="B162:B165"/>
    <mergeCell ref="A286:A289"/>
    <mergeCell ref="B286:B289"/>
    <mergeCell ref="A258:A261"/>
    <mergeCell ref="B258:B261"/>
    <mergeCell ref="C258:C261"/>
    <mergeCell ref="D258:D261"/>
    <mergeCell ref="E258:E261"/>
    <mergeCell ref="A246:A249"/>
    <mergeCell ref="B246:B249"/>
    <mergeCell ref="C246:C249"/>
    <mergeCell ref="D246:D249"/>
    <mergeCell ref="E246:E249"/>
    <mergeCell ref="E254:E257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C286:C289"/>
    <mergeCell ref="D286:D289"/>
    <mergeCell ref="N302:N305"/>
    <mergeCell ref="A306:A309"/>
    <mergeCell ref="B306:E309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4:A297"/>
    <mergeCell ref="B294:B297"/>
    <mergeCell ref="C294:C297"/>
    <mergeCell ref="D294:D297"/>
    <mergeCell ref="E294:E297"/>
    <mergeCell ref="E286:E289"/>
    <mergeCell ref="A290:A293"/>
    <mergeCell ref="B290:B293"/>
    <mergeCell ref="C290:C293"/>
    <mergeCell ref="E290:E293"/>
    <mergeCell ref="N286:N289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N250:N281"/>
    <mergeCell ref="A262:A265"/>
    <mergeCell ref="B262:B265"/>
    <mergeCell ref="C262:C265"/>
    <mergeCell ref="D262:D265"/>
    <mergeCell ref="E262:E265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A266:A269"/>
    <mergeCell ref="B266:B269"/>
    <mergeCell ref="C266:C269"/>
    <mergeCell ref="D266:D269"/>
    <mergeCell ref="E266:E269"/>
    <mergeCell ref="N246:N249"/>
    <mergeCell ref="B238:B241"/>
    <mergeCell ref="C238:C241"/>
    <mergeCell ref="D238:D241"/>
    <mergeCell ref="E238:E241"/>
    <mergeCell ref="A242:A245"/>
    <mergeCell ref="B242:B245"/>
    <mergeCell ref="C242:C245"/>
    <mergeCell ref="D242:D245"/>
    <mergeCell ref="E242:E245"/>
    <mergeCell ref="A238:A241"/>
    <mergeCell ref="C234:C237"/>
    <mergeCell ref="D234:D237"/>
    <mergeCell ref="E234:E237"/>
    <mergeCell ref="N222:N225"/>
    <mergeCell ref="A226:A229"/>
    <mergeCell ref="B226:B229"/>
    <mergeCell ref="C226:C229"/>
    <mergeCell ref="D226:D229"/>
    <mergeCell ref="E226:E229"/>
    <mergeCell ref="N226:N245"/>
    <mergeCell ref="A230:A233"/>
    <mergeCell ref="B230:B233"/>
    <mergeCell ref="C230:C233"/>
    <mergeCell ref="D230:D233"/>
    <mergeCell ref="E230:E233"/>
    <mergeCell ref="A234:A237"/>
    <mergeCell ref="B234:B237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D206:D209"/>
    <mergeCell ref="E206:E209"/>
    <mergeCell ref="A190:A193"/>
    <mergeCell ref="B190:B193"/>
    <mergeCell ref="C190:C193"/>
    <mergeCell ref="D190:D193"/>
    <mergeCell ref="E190:E193"/>
    <mergeCell ref="A202:A205"/>
    <mergeCell ref="B202:B205"/>
    <mergeCell ref="C202:C205"/>
    <mergeCell ref="D202:D205"/>
    <mergeCell ref="E202:E205"/>
    <mergeCell ref="A194:A197"/>
    <mergeCell ref="B194:B197"/>
    <mergeCell ref="C194:C197"/>
    <mergeCell ref="C162:C165"/>
    <mergeCell ref="D162:D165"/>
    <mergeCell ref="E162:E165"/>
    <mergeCell ref="N162:N221"/>
    <mergeCell ref="A166:A169"/>
    <mergeCell ref="B166:B169"/>
    <mergeCell ref="C166:C169"/>
    <mergeCell ref="D166:D169"/>
    <mergeCell ref="A170:A173"/>
    <mergeCell ref="B170:B173"/>
    <mergeCell ref="C170:C173"/>
    <mergeCell ref="D170:D173"/>
    <mergeCell ref="E170:E173"/>
    <mergeCell ref="A174:A177"/>
    <mergeCell ref="B174:B177"/>
    <mergeCell ref="C174:C177"/>
    <mergeCell ref="D174:D177"/>
    <mergeCell ref="E174:E177"/>
    <mergeCell ref="B182:B185"/>
    <mergeCell ref="C182:C185"/>
    <mergeCell ref="D182:D185"/>
    <mergeCell ref="A206:A209"/>
    <mergeCell ref="B206:B209"/>
    <mergeCell ref="C206:C20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N134:N137"/>
    <mergeCell ref="N126:N129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26:A129"/>
    <mergeCell ref="B126:B129"/>
    <mergeCell ref="C126:C129"/>
    <mergeCell ref="D126:D129"/>
    <mergeCell ref="E90:E93"/>
    <mergeCell ref="A94:A97"/>
    <mergeCell ref="B94:B97"/>
    <mergeCell ref="C94:C97"/>
    <mergeCell ref="D94:D97"/>
    <mergeCell ref="E94:E97"/>
    <mergeCell ref="E126:E129"/>
    <mergeCell ref="A134:A137"/>
    <mergeCell ref="B134:B137"/>
    <mergeCell ref="C134:C137"/>
    <mergeCell ref="D134:D137"/>
    <mergeCell ref="E134:E137"/>
    <mergeCell ref="C114:C117"/>
    <mergeCell ref="D114:D117"/>
    <mergeCell ref="E114:E117"/>
    <mergeCell ref="A122:A125"/>
    <mergeCell ref="B122:B125"/>
    <mergeCell ref="C122:C125"/>
    <mergeCell ref="D122:D125"/>
    <mergeCell ref="E122:E125"/>
    <mergeCell ref="N94:N97"/>
    <mergeCell ref="A98:A101"/>
    <mergeCell ref="B98:B101"/>
    <mergeCell ref="C98:C101"/>
    <mergeCell ref="D98:D101"/>
    <mergeCell ref="E98:E101"/>
    <mergeCell ref="N98:N125"/>
    <mergeCell ref="A102:A105"/>
    <mergeCell ref="B102:B105"/>
    <mergeCell ref="C102:C105"/>
    <mergeCell ref="D102:D105"/>
    <mergeCell ref="A110:A113"/>
    <mergeCell ref="B110:B113"/>
    <mergeCell ref="C110:C113"/>
    <mergeCell ref="D110:D113"/>
    <mergeCell ref="E110:E113"/>
    <mergeCell ref="A114:A117"/>
    <mergeCell ref="B114:B117"/>
    <mergeCell ref="E102:E105"/>
    <mergeCell ref="A118:A121"/>
    <mergeCell ref="B118:B121"/>
    <mergeCell ref="C118:C121"/>
    <mergeCell ref="D118:D121"/>
    <mergeCell ref="E118:E121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106:A109"/>
    <mergeCell ref="B106:B109"/>
    <mergeCell ref="C106:C109"/>
    <mergeCell ref="D106:D109"/>
    <mergeCell ref="E106:E109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22"/>
  <sheetViews>
    <sheetView view="pageBreakPreview" zoomScale="80" zoomScaleNormal="100" zoomScaleSheetLayoutView="80" workbookViewId="0">
      <pane xSplit="7" ySplit="8" topLeftCell="H156" activePane="bottomRight" state="frozen"/>
      <selection pane="topRight" activeCell="G1" sqref="G1"/>
      <selection pane="bottomLeft" activeCell="A8" sqref="A8"/>
      <selection pane="bottomRight" activeCell="K168" sqref="K168"/>
    </sheetView>
  </sheetViews>
  <sheetFormatPr defaultRowHeight="16.5" outlineLevelRow="1" outlineLevelCol="1" x14ac:dyDescent="0.25"/>
  <cols>
    <col min="1" max="1" width="8" style="59" customWidth="1"/>
    <col min="2" max="2" width="52.42578125" style="57" customWidth="1"/>
    <col min="3" max="3" width="14.28515625" style="58" customWidth="1" outlineLevel="1"/>
    <col min="4" max="4" width="18.7109375" style="59" customWidth="1" outlineLevel="1"/>
    <col min="5" max="5" width="10.85546875" style="59" customWidth="1" outlineLevel="1"/>
    <col min="6" max="6" width="26.85546875" style="59" customWidth="1"/>
    <col min="7" max="13" width="19.42578125" style="60" customWidth="1"/>
    <col min="14" max="14" width="65.7109375" style="105" customWidth="1" outlineLevel="1"/>
    <col min="15" max="15" width="20.7109375" style="59" customWidth="1"/>
    <col min="16" max="16" width="17.140625" style="59" hidden="1" customWidth="1"/>
    <col min="17" max="17" width="13" style="59" hidden="1" customWidth="1"/>
    <col min="18" max="18" width="11.7109375" style="59" hidden="1" customWidth="1"/>
    <col min="19" max="23" width="9.140625" style="59" hidden="1" customWidth="1"/>
    <col min="24" max="25" width="9.140625" style="59"/>
    <col min="26" max="26" width="11.7109375" style="59" bestFit="1" customWidth="1"/>
    <col min="27" max="16384" width="9.140625" style="59"/>
  </cols>
  <sheetData>
    <row r="1" spans="1:17" x14ac:dyDescent="0.25">
      <c r="A1" s="56"/>
      <c r="K1" s="333" t="s">
        <v>131</v>
      </c>
      <c r="L1" s="333"/>
      <c r="M1" s="333"/>
      <c r="N1" s="333"/>
      <c r="O1" s="61"/>
      <c r="P1" s="61"/>
      <c r="Q1" s="61"/>
    </row>
    <row r="2" spans="1:17" x14ac:dyDescent="0.25">
      <c r="A2" s="56"/>
      <c r="B2" s="334" t="s">
        <v>0</v>
      </c>
      <c r="C2" s="334"/>
      <c r="D2" s="334"/>
      <c r="E2" s="334"/>
      <c r="F2" s="334"/>
      <c r="G2" s="334"/>
      <c r="H2" s="334"/>
      <c r="I2" s="334"/>
      <c r="J2" s="334"/>
      <c r="K2" s="334"/>
      <c r="L2" s="62"/>
      <c r="M2" s="62"/>
      <c r="N2" s="63" t="s">
        <v>157</v>
      </c>
      <c r="O2" s="61"/>
    </row>
    <row r="3" spans="1:17" x14ac:dyDescent="0.25">
      <c r="A3" s="56"/>
      <c r="B3" s="334" t="s">
        <v>1</v>
      </c>
      <c r="C3" s="334"/>
      <c r="D3" s="334"/>
      <c r="E3" s="334"/>
      <c r="F3" s="334"/>
      <c r="G3" s="334"/>
      <c r="H3" s="334"/>
      <c r="I3" s="334"/>
      <c r="J3" s="334"/>
      <c r="K3" s="334"/>
      <c r="L3" s="64"/>
      <c r="M3" s="64"/>
      <c r="N3" s="63" t="s">
        <v>135</v>
      </c>
    </row>
    <row r="4" spans="1:17" ht="15.75" customHeight="1" x14ac:dyDescent="0.25">
      <c r="A4" s="56"/>
      <c r="B4" s="334" t="s">
        <v>134</v>
      </c>
      <c r="C4" s="334"/>
      <c r="D4" s="334"/>
      <c r="E4" s="334"/>
      <c r="F4" s="334"/>
      <c r="G4" s="334"/>
      <c r="H4" s="334"/>
      <c r="I4" s="334"/>
      <c r="J4" s="334"/>
      <c r="K4" s="334"/>
      <c r="L4" s="65"/>
      <c r="M4" s="65"/>
      <c r="N4" s="66"/>
    </row>
    <row r="5" spans="1:17" x14ac:dyDescent="0.25">
      <c r="A5" s="56"/>
      <c r="H5" s="67"/>
      <c r="I5" s="68">
        <f t="shared" ref="I5:J5" si="0">I20+I40+I44+I48+I52+I96+I104+I116</f>
        <v>628554600</v>
      </c>
      <c r="J5" s="68">
        <f t="shared" si="0"/>
        <v>651853900</v>
      </c>
      <c r="K5" s="68">
        <f>K20+K40+K44+K48+K52+K96+K104+K116</f>
        <v>691154300.00000012</v>
      </c>
      <c r="L5" s="68">
        <f t="shared" ref="L5:M5" si="1">L20+L40+L44+L48+L52+L96+L104+L116</f>
        <v>715126400</v>
      </c>
      <c r="M5" s="68">
        <f t="shared" si="1"/>
        <v>730443300</v>
      </c>
      <c r="N5" s="69" t="s">
        <v>117</v>
      </c>
    </row>
    <row r="6" spans="1:17" x14ac:dyDescent="0.25">
      <c r="A6" s="56"/>
      <c r="H6" s="67"/>
      <c r="I6" s="68"/>
      <c r="J6" s="70">
        <f>J28+J88+J124-2040.87</f>
        <v>66322571</v>
      </c>
      <c r="K6" s="70">
        <f>K28+K88+K124-1300.84</f>
        <v>52591117.160000004</v>
      </c>
      <c r="L6" s="70">
        <f>L28+L88+L124</f>
        <v>56830782.090000004</v>
      </c>
      <c r="M6" s="70">
        <f>M28+M88+M124</f>
        <v>66055405.350000001</v>
      </c>
      <c r="N6" s="69" t="s">
        <v>118</v>
      </c>
    </row>
    <row r="7" spans="1:17" s="71" customFormat="1" ht="21.75" customHeight="1" x14ac:dyDescent="0.25">
      <c r="A7" s="325" t="s">
        <v>2</v>
      </c>
      <c r="B7" s="325" t="s">
        <v>3</v>
      </c>
      <c r="C7" s="325" t="s">
        <v>4</v>
      </c>
      <c r="D7" s="325" t="s">
        <v>5</v>
      </c>
      <c r="E7" s="325" t="s">
        <v>6</v>
      </c>
      <c r="F7" s="325" t="s">
        <v>7</v>
      </c>
      <c r="G7" s="322" t="s">
        <v>8</v>
      </c>
      <c r="H7" s="323"/>
      <c r="I7" s="323"/>
      <c r="J7" s="323"/>
      <c r="K7" s="323"/>
      <c r="L7" s="323"/>
      <c r="M7" s="324"/>
      <c r="N7" s="325" t="s">
        <v>9</v>
      </c>
    </row>
    <row r="8" spans="1:17" s="71" customFormat="1" ht="21.75" customHeight="1" x14ac:dyDescent="0.25">
      <c r="A8" s="326"/>
      <c r="B8" s="326"/>
      <c r="C8" s="326"/>
      <c r="D8" s="326"/>
      <c r="E8" s="326"/>
      <c r="F8" s="326"/>
      <c r="G8" s="72" t="s">
        <v>10</v>
      </c>
      <c r="H8" s="73">
        <v>2020</v>
      </c>
      <c r="I8" s="74">
        <v>2021</v>
      </c>
      <c r="J8" s="73">
        <v>2022</v>
      </c>
      <c r="K8" s="73">
        <v>2023</v>
      </c>
      <c r="L8" s="73">
        <v>2024</v>
      </c>
      <c r="M8" s="73">
        <v>2025</v>
      </c>
      <c r="N8" s="326"/>
    </row>
    <row r="9" spans="1:17" s="58" customFormat="1" ht="21.75" customHeight="1" x14ac:dyDescent="0.25">
      <c r="A9" s="75">
        <v>1</v>
      </c>
      <c r="B9" s="76">
        <v>2</v>
      </c>
      <c r="C9" s="76">
        <v>3</v>
      </c>
      <c r="D9" s="76"/>
      <c r="E9" s="76">
        <v>4</v>
      </c>
      <c r="F9" s="76">
        <v>5</v>
      </c>
      <c r="G9" s="77">
        <v>6</v>
      </c>
      <c r="H9" s="77">
        <v>9</v>
      </c>
      <c r="I9" s="77">
        <v>10</v>
      </c>
      <c r="J9" s="77">
        <v>10</v>
      </c>
      <c r="K9" s="77">
        <v>9</v>
      </c>
      <c r="L9" s="77">
        <v>10</v>
      </c>
      <c r="M9" s="77">
        <v>10</v>
      </c>
      <c r="N9" s="78">
        <v>11</v>
      </c>
    </row>
    <row r="10" spans="1:17" ht="30.75" customHeight="1" x14ac:dyDescent="0.25">
      <c r="A10" s="238"/>
      <c r="B10" s="327" t="s">
        <v>146</v>
      </c>
      <c r="C10" s="244" t="s">
        <v>11</v>
      </c>
      <c r="D10" s="279" t="s">
        <v>12</v>
      </c>
      <c r="E10" s="244" t="s">
        <v>153</v>
      </c>
      <c r="F10" s="79" t="s">
        <v>14</v>
      </c>
      <c r="G10" s="80">
        <f t="shared" ref="G10:M10" si="2">G11+G12+G13</f>
        <v>5206525487.1199999</v>
      </c>
      <c r="H10" s="80">
        <f t="shared" si="2"/>
        <v>902432622.35000002</v>
      </c>
      <c r="I10" s="80">
        <f t="shared" si="2"/>
        <v>991516352.55999994</v>
      </c>
      <c r="J10" s="80">
        <f t="shared" si="2"/>
        <v>1053096145.1899999</v>
      </c>
      <c r="K10" s="80">
        <f t="shared" si="2"/>
        <v>1105766911.8699999</v>
      </c>
      <c r="L10" s="80">
        <f>L11+L12+L13</f>
        <v>1126127747.6700001</v>
      </c>
      <c r="M10" s="80">
        <f t="shared" si="2"/>
        <v>1153713455.1500001</v>
      </c>
      <c r="N10" s="330"/>
      <c r="O10" s="61"/>
    </row>
    <row r="11" spans="1:17" ht="30.75" customHeight="1" x14ac:dyDescent="0.25">
      <c r="A11" s="239"/>
      <c r="B11" s="328"/>
      <c r="C11" s="245"/>
      <c r="D11" s="285"/>
      <c r="E11" s="245"/>
      <c r="F11" s="79" t="s">
        <v>133</v>
      </c>
      <c r="G11" s="80">
        <f>H11+I11+J11+K11+M11</f>
        <v>1348361248.3299999</v>
      </c>
      <c r="H11" s="81">
        <f t="shared" ref="H11:M13" si="3">H15+H35+H99+H127</f>
        <v>230451855.84</v>
      </c>
      <c r="I11" s="81">
        <f t="shared" si="3"/>
        <v>245028859.64000005</v>
      </c>
      <c r="J11" s="81">
        <f t="shared" si="3"/>
        <v>273217094.64000005</v>
      </c>
      <c r="K11" s="81">
        <f t="shared" si="3"/>
        <v>302209634.28999996</v>
      </c>
      <c r="L11" s="81">
        <f t="shared" si="3"/>
        <v>295069013.06999999</v>
      </c>
      <c r="M11" s="81">
        <f t="shared" si="3"/>
        <v>297453803.91999996</v>
      </c>
      <c r="N11" s="331"/>
      <c r="O11" s="61"/>
    </row>
    <row r="12" spans="1:17" ht="30.75" customHeight="1" x14ac:dyDescent="0.25">
      <c r="A12" s="239"/>
      <c r="B12" s="328"/>
      <c r="C12" s="245"/>
      <c r="D12" s="285"/>
      <c r="E12" s="245"/>
      <c r="F12" s="79" t="s">
        <v>16</v>
      </c>
      <c r="G12" s="80">
        <f>H12+I12+J12+K12+M12</f>
        <v>3655651187.8999996</v>
      </c>
      <c r="H12" s="81">
        <f t="shared" si="3"/>
        <v>655000266.50999999</v>
      </c>
      <c r="I12" s="81">
        <f t="shared" si="3"/>
        <v>701159642.91999996</v>
      </c>
      <c r="J12" s="81">
        <f t="shared" si="3"/>
        <v>733922349.65999997</v>
      </c>
      <c r="K12" s="81">
        <f t="shared" si="3"/>
        <v>755962367.58000004</v>
      </c>
      <c r="L12" s="81">
        <f t="shared" si="3"/>
        <v>783630644.60000002</v>
      </c>
      <c r="M12" s="81">
        <f t="shared" si="3"/>
        <v>809606561.23000002</v>
      </c>
      <c r="N12" s="331"/>
      <c r="O12" s="61"/>
    </row>
    <row r="13" spans="1:17" ht="30.75" customHeight="1" x14ac:dyDescent="0.25">
      <c r="A13" s="240"/>
      <c r="B13" s="329"/>
      <c r="C13" s="246"/>
      <c r="D13" s="286"/>
      <c r="E13" s="246"/>
      <c r="F13" s="79" t="s">
        <v>17</v>
      </c>
      <c r="G13" s="80">
        <f>H13+I13+J13+K13+M13</f>
        <v>202513050.88999999</v>
      </c>
      <c r="H13" s="81">
        <f t="shared" si="3"/>
        <v>16980500</v>
      </c>
      <c r="I13" s="81">
        <f t="shared" si="3"/>
        <v>45327850</v>
      </c>
      <c r="J13" s="81">
        <f t="shared" si="3"/>
        <v>45956700.890000001</v>
      </c>
      <c r="K13" s="81">
        <f t="shared" si="3"/>
        <v>47594910</v>
      </c>
      <c r="L13" s="81">
        <f t="shared" si="3"/>
        <v>47428090</v>
      </c>
      <c r="M13" s="81">
        <f t="shared" si="3"/>
        <v>46653090</v>
      </c>
      <c r="N13" s="332"/>
      <c r="O13" s="61"/>
    </row>
    <row r="14" spans="1:17" ht="21.75" customHeight="1" x14ac:dyDescent="0.25">
      <c r="A14" s="317"/>
      <c r="B14" s="319" t="s">
        <v>19</v>
      </c>
      <c r="C14" s="305" t="s">
        <v>11</v>
      </c>
      <c r="D14" s="308" t="s">
        <v>12</v>
      </c>
      <c r="E14" s="305" t="s">
        <v>153</v>
      </c>
      <c r="F14" s="82" t="s">
        <v>14</v>
      </c>
      <c r="G14" s="83">
        <f t="shared" ref="G14:M14" si="4">G15+G16+G17</f>
        <v>1672873193.77</v>
      </c>
      <c r="H14" s="83">
        <f t="shared" si="4"/>
        <v>300538053.05000001</v>
      </c>
      <c r="I14" s="83">
        <f t="shared" si="4"/>
        <v>317314159.79000002</v>
      </c>
      <c r="J14" s="83">
        <f t="shared" si="4"/>
        <v>337089422.34000003</v>
      </c>
      <c r="K14" s="83">
        <f t="shared" si="4"/>
        <v>350226781.54000002</v>
      </c>
      <c r="L14" s="83">
        <f>L15+L16+L17</f>
        <v>357816487.05000001</v>
      </c>
      <c r="M14" s="83">
        <f t="shared" si="4"/>
        <v>367704777.05000001</v>
      </c>
      <c r="N14" s="258" t="s">
        <v>20</v>
      </c>
      <c r="O14" s="61"/>
    </row>
    <row r="15" spans="1:17" ht="21.75" customHeight="1" x14ac:dyDescent="0.25">
      <c r="A15" s="318"/>
      <c r="B15" s="320"/>
      <c r="C15" s="306"/>
      <c r="D15" s="309"/>
      <c r="E15" s="306"/>
      <c r="F15" s="82" t="s">
        <v>133</v>
      </c>
      <c r="G15" s="83">
        <f>H15+I15+J15+K15+M15</f>
        <v>536168214.35000002</v>
      </c>
      <c r="H15" s="84">
        <f t="shared" ref="H15:M17" si="5">H19+H23+H27+H31</f>
        <v>96147672.620000005</v>
      </c>
      <c r="I15" s="84">
        <f t="shared" si="5"/>
        <v>99727111.450000003</v>
      </c>
      <c r="J15" s="84">
        <f>J19+J23+J27+J31</f>
        <v>106478462.18000001</v>
      </c>
      <c r="K15" s="84">
        <f t="shared" si="5"/>
        <v>116907484.05</v>
      </c>
      <c r="L15" s="84">
        <f>L19+L23+L27+L31</f>
        <v>115907484.05</v>
      </c>
      <c r="M15" s="84">
        <f t="shared" si="5"/>
        <v>116907484.05</v>
      </c>
      <c r="N15" s="259"/>
      <c r="O15" s="61"/>
    </row>
    <row r="16" spans="1:17" ht="21.75" customHeight="1" x14ac:dyDescent="0.25">
      <c r="A16" s="318"/>
      <c r="B16" s="320"/>
      <c r="C16" s="306"/>
      <c r="D16" s="309"/>
      <c r="E16" s="306"/>
      <c r="F16" s="82" t="s">
        <v>16</v>
      </c>
      <c r="G16" s="83">
        <f>H16+I16+J16+K16+M16</f>
        <v>1136704979.4200001</v>
      </c>
      <c r="H16" s="84">
        <f t="shared" si="5"/>
        <v>204390380.43000001</v>
      </c>
      <c r="I16" s="84">
        <f t="shared" si="5"/>
        <v>217587048.34</v>
      </c>
      <c r="J16" s="84">
        <f>J20+J24+J28+J32</f>
        <v>230610960.16</v>
      </c>
      <c r="K16" s="84">
        <f t="shared" si="5"/>
        <v>233319297.49000001</v>
      </c>
      <c r="L16" s="84">
        <f>L20+L24+L28+L32</f>
        <v>241909003</v>
      </c>
      <c r="M16" s="84">
        <f t="shared" si="5"/>
        <v>250797293</v>
      </c>
      <c r="N16" s="259"/>
      <c r="O16" s="61"/>
    </row>
    <row r="17" spans="1:18" ht="21.75" customHeight="1" x14ac:dyDescent="0.25">
      <c r="A17" s="318"/>
      <c r="B17" s="320"/>
      <c r="C17" s="306"/>
      <c r="D17" s="310"/>
      <c r="E17" s="306"/>
      <c r="F17" s="82" t="s">
        <v>17</v>
      </c>
      <c r="G17" s="83">
        <f>H17+I17+J17+K17+M17</f>
        <v>0</v>
      </c>
      <c r="H17" s="84">
        <f t="shared" si="5"/>
        <v>0</v>
      </c>
      <c r="I17" s="84">
        <f t="shared" si="5"/>
        <v>0</v>
      </c>
      <c r="J17" s="84">
        <f t="shared" si="5"/>
        <v>0</v>
      </c>
      <c r="K17" s="84">
        <f t="shared" si="5"/>
        <v>0</v>
      </c>
      <c r="L17" s="84">
        <f>L21+L25+L29+L33</f>
        <v>0</v>
      </c>
      <c r="M17" s="84">
        <f t="shared" si="5"/>
        <v>0</v>
      </c>
      <c r="N17" s="259"/>
      <c r="O17" s="61"/>
    </row>
    <row r="18" spans="1:18" ht="21.75" customHeight="1" x14ac:dyDescent="0.25">
      <c r="A18" s="321" t="s">
        <v>18</v>
      </c>
      <c r="B18" s="311" t="s">
        <v>21</v>
      </c>
      <c r="C18" s="253" t="s">
        <v>11</v>
      </c>
      <c r="D18" s="268" t="s">
        <v>12</v>
      </c>
      <c r="E18" s="253" t="s">
        <v>153</v>
      </c>
      <c r="F18" s="85" t="s">
        <v>14</v>
      </c>
      <c r="G18" s="86">
        <f t="shared" ref="G18:M18" si="6">G19+G20+G21</f>
        <v>1519822756.1000001</v>
      </c>
      <c r="H18" s="86">
        <f t="shared" si="6"/>
        <v>271519528.05000001</v>
      </c>
      <c r="I18" s="86">
        <f t="shared" si="6"/>
        <v>286861735.72000003</v>
      </c>
      <c r="J18" s="87">
        <f t="shared" si="6"/>
        <v>302324793.74000001</v>
      </c>
      <c r="K18" s="86">
        <f t="shared" si="6"/>
        <v>323580831.54000002</v>
      </c>
      <c r="L18" s="86">
        <f>L19+L20+L21</f>
        <v>329935057.05000001</v>
      </c>
      <c r="M18" s="86">
        <f t="shared" si="6"/>
        <v>335535867.05000001</v>
      </c>
      <c r="N18" s="259"/>
      <c r="O18" s="61"/>
    </row>
    <row r="19" spans="1:18" ht="21.75" customHeight="1" x14ac:dyDescent="0.25">
      <c r="A19" s="248"/>
      <c r="B19" s="312"/>
      <c r="C19" s="254"/>
      <c r="D19" s="269"/>
      <c r="E19" s="254"/>
      <c r="F19" s="85" t="s">
        <v>133</v>
      </c>
      <c r="G19" s="86">
        <f>H19+I19+J19+K19+M19</f>
        <v>532256284.19000006</v>
      </c>
      <c r="H19" s="86">
        <v>95367218.620000005</v>
      </c>
      <c r="I19" s="86">
        <f>98500729.44+251771.78</f>
        <v>98752501.219999999</v>
      </c>
      <c r="J19" s="87">
        <v>105878296.25</v>
      </c>
      <c r="K19" s="86">
        <v>116129134.05</v>
      </c>
      <c r="L19" s="86">
        <v>115129134.05</v>
      </c>
      <c r="M19" s="86">
        <v>116129134.05</v>
      </c>
      <c r="N19" s="259"/>
      <c r="O19" s="61"/>
    </row>
    <row r="20" spans="1:18" ht="21.75" customHeight="1" x14ac:dyDescent="0.25">
      <c r="A20" s="248"/>
      <c r="B20" s="312"/>
      <c r="C20" s="254"/>
      <c r="D20" s="269"/>
      <c r="E20" s="254"/>
      <c r="F20" s="85" t="s">
        <v>16</v>
      </c>
      <c r="G20" s="86">
        <f>H20+I20+J20+K20+M20</f>
        <v>987566471.91000009</v>
      </c>
      <c r="H20" s="86">
        <f>176152309.43</f>
        <v>176152309.43000001</v>
      </c>
      <c r="I20" s="86">
        <f>188109234.5</f>
        <v>188109234.5</v>
      </c>
      <c r="J20" s="87">
        <f>193465907+2980590.49</f>
        <v>196446497.49000001</v>
      </c>
      <c r="K20" s="86">
        <v>207451697.49000001</v>
      </c>
      <c r="L20" s="86">
        <v>214805923</v>
      </c>
      <c r="M20" s="86">
        <v>219406733</v>
      </c>
      <c r="N20" s="259"/>
      <c r="O20" s="61"/>
    </row>
    <row r="21" spans="1:18" ht="21.75" customHeight="1" x14ac:dyDescent="0.25">
      <c r="A21" s="248"/>
      <c r="B21" s="312"/>
      <c r="C21" s="254"/>
      <c r="D21" s="270"/>
      <c r="E21" s="254"/>
      <c r="F21" s="85" t="s">
        <v>17</v>
      </c>
      <c r="G21" s="86">
        <f>H21+I21+J21+K21+M21</f>
        <v>0</v>
      </c>
      <c r="H21" s="86">
        <v>0</v>
      </c>
      <c r="I21" s="86">
        <v>0</v>
      </c>
      <c r="J21" s="87">
        <v>0</v>
      </c>
      <c r="K21" s="86">
        <v>0</v>
      </c>
      <c r="L21" s="86">
        <v>0</v>
      </c>
      <c r="M21" s="86"/>
      <c r="N21" s="259"/>
      <c r="O21" s="61"/>
    </row>
    <row r="22" spans="1:18" ht="21.75" customHeight="1" x14ac:dyDescent="0.25">
      <c r="A22" s="247" t="s">
        <v>128</v>
      </c>
      <c r="B22" s="311" t="s">
        <v>22</v>
      </c>
      <c r="C22" s="253" t="s">
        <v>11</v>
      </c>
      <c r="D22" s="268" t="s">
        <v>12</v>
      </c>
      <c r="E22" s="253" t="s">
        <v>153</v>
      </c>
      <c r="F22" s="85" t="s">
        <v>14</v>
      </c>
      <c r="G22" s="86">
        <f t="shared" ref="G22:M22" si="7">G23+G24+G25</f>
        <v>3911930.16</v>
      </c>
      <c r="H22" s="86">
        <f t="shared" si="7"/>
        <v>780454</v>
      </c>
      <c r="I22" s="86">
        <f t="shared" si="7"/>
        <v>974610.2300000001</v>
      </c>
      <c r="J22" s="87">
        <f t="shared" si="7"/>
        <v>600165.93000000005</v>
      </c>
      <c r="K22" s="86">
        <f t="shared" si="7"/>
        <v>778350</v>
      </c>
      <c r="L22" s="86">
        <f>L23+L24+L25</f>
        <v>778350</v>
      </c>
      <c r="M22" s="86">
        <f t="shared" si="7"/>
        <v>778350</v>
      </c>
      <c r="N22" s="259"/>
      <c r="O22" s="61"/>
    </row>
    <row r="23" spans="1:18" ht="21.75" customHeight="1" x14ac:dyDescent="0.25">
      <c r="A23" s="248"/>
      <c r="B23" s="312"/>
      <c r="C23" s="254"/>
      <c r="D23" s="269"/>
      <c r="E23" s="254"/>
      <c r="F23" s="85" t="s">
        <v>133</v>
      </c>
      <c r="G23" s="86">
        <f>H23+I23+J23+K23+M23</f>
        <v>3911930.16</v>
      </c>
      <c r="H23" s="86">
        <v>780454</v>
      </c>
      <c r="I23" s="86">
        <f>858767.75+78575.57+37266.91</f>
        <v>974610.2300000001</v>
      </c>
      <c r="J23" s="87">
        <v>600165.93000000005</v>
      </c>
      <c r="K23" s="86">
        <v>778350</v>
      </c>
      <c r="L23" s="86">
        <v>778350</v>
      </c>
      <c r="M23" s="86">
        <v>778350</v>
      </c>
      <c r="N23" s="259"/>
      <c r="O23" s="61"/>
      <c r="R23" s="61"/>
    </row>
    <row r="24" spans="1:18" ht="21.75" customHeight="1" x14ac:dyDescent="0.25">
      <c r="A24" s="248"/>
      <c r="B24" s="312"/>
      <c r="C24" s="254"/>
      <c r="D24" s="269"/>
      <c r="E24" s="254"/>
      <c r="F24" s="85" t="s">
        <v>16</v>
      </c>
      <c r="G24" s="86">
        <f>H24+I24+J24+K24+M24</f>
        <v>0</v>
      </c>
      <c r="H24" s="86">
        <v>0</v>
      </c>
      <c r="I24" s="86">
        <v>0</v>
      </c>
      <c r="J24" s="87">
        <v>0</v>
      </c>
      <c r="K24" s="86">
        <v>0</v>
      </c>
      <c r="L24" s="86">
        <v>0</v>
      </c>
      <c r="M24" s="86"/>
      <c r="N24" s="259"/>
      <c r="O24" s="61"/>
    </row>
    <row r="25" spans="1:18" ht="21.75" customHeight="1" x14ac:dyDescent="0.25">
      <c r="A25" s="249"/>
      <c r="B25" s="313"/>
      <c r="C25" s="254"/>
      <c r="D25" s="270"/>
      <c r="E25" s="255"/>
      <c r="F25" s="85" t="s">
        <v>17</v>
      </c>
      <c r="G25" s="86">
        <f>H25+I25+J25+K25+M25</f>
        <v>0</v>
      </c>
      <c r="H25" s="86">
        <v>0</v>
      </c>
      <c r="I25" s="86">
        <v>0</v>
      </c>
      <c r="J25" s="87">
        <v>0</v>
      </c>
      <c r="K25" s="86">
        <v>0</v>
      </c>
      <c r="L25" s="86">
        <v>0</v>
      </c>
      <c r="M25" s="86"/>
      <c r="N25" s="259"/>
      <c r="O25" s="61"/>
    </row>
    <row r="26" spans="1:18" ht="21.75" customHeight="1" x14ac:dyDescent="0.25">
      <c r="A26" s="247" t="s">
        <v>144</v>
      </c>
      <c r="B26" s="311" t="s">
        <v>23</v>
      </c>
      <c r="C26" s="253" t="s">
        <v>11</v>
      </c>
      <c r="D26" s="268" t="s">
        <v>12</v>
      </c>
      <c r="E26" s="253" t="s">
        <v>153</v>
      </c>
      <c r="F26" s="85" t="s">
        <v>14</v>
      </c>
      <c r="G26" s="86">
        <f t="shared" ref="G26:M26" si="8">G27+G28+G29</f>
        <v>98616493.590000004</v>
      </c>
      <c r="H26" s="86">
        <f t="shared" si="8"/>
        <v>18787671</v>
      </c>
      <c r="I26" s="86">
        <f t="shared" si="8"/>
        <v>19609249.84</v>
      </c>
      <c r="J26" s="87">
        <f t="shared" si="8"/>
        <v>21497572.75</v>
      </c>
      <c r="K26" s="86">
        <f t="shared" si="8"/>
        <v>17322000</v>
      </c>
      <c r="L26" s="86">
        <f>L27+L28+L29</f>
        <v>18450000</v>
      </c>
      <c r="M26" s="86">
        <f t="shared" si="8"/>
        <v>21400000</v>
      </c>
      <c r="N26" s="259"/>
      <c r="O26" s="61"/>
    </row>
    <row r="27" spans="1:18" ht="21.75" customHeight="1" x14ac:dyDescent="0.25">
      <c r="A27" s="248"/>
      <c r="B27" s="312"/>
      <c r="C27" s="254"/>
      <c r="D27" s="269"/>
      <c r="E27" s="254"/>
      <c r="F27" s="85" t="s">
        <v>133</v>
      </c>
      <c r="G27" s="86">
        <f>H27+I27+J27+K27+M27</f>
        <v>0</v>
      </c>
      <c r="H27" s="86">
        <v>0</v>
      </c>
      <c r="I27" s="86">
        <v>0</v>
      </c>
      <c r="J27" s="87">
        <v>0</v>
      </c>
      <c r="K27" s="86">
        <v>0</v>
      </c>
      <c r="L27" s="86">
        <v>0</v>
      </c>
      <c r="M27" s="86">
        <v>0</v>
      </c>
      <c r="N27" s="259"/>
      <c r="O27" s="61"/>
    </row>
    <row r="28" spans="1:18" ht="21.75" customHeight="1" x14ac:dyDescent="0.25">
      <c r="A28" s="248"/>
      <c r="B28" s="312"/>
      <c r="C28" s="254"/>
      <c r="D28" s="269"/>
      <c r="E28" s="254"/>
      <c r="F28" s="85" t="s">
        <v>16</v>
      </c>
      <c r="G28" s="86">
        <f>H28+I28+J28+K28+M28</f>
        <v>98616493.590000004</v>
      </c>
      <c r="H28" s="86">
        <v>18787671</v>
      </c>
      <c r="I28" s="86">
        <v>19609249.84</v>
      </c>
      <c r="J28" s="87">
        <f>'[2]остатки средств в ФК_8'!$R$19</f>
        <v>21497572.75</v>
      </c>
      <c r="K28" s="86">
        <v>17322000</v>
      </c>
      <c r="L28" s="86">
        <v>18450000</v>
      </c>
      <c r="M28" s="86">
        <v>21400000</v>
      </c>
      <c r="N28" s="259"/>
      <c r="O28" s="61"/>
    </row>
    <row r="29" spans="1:18" ht="21.75" customHeight="1" x14ac:dyDescent="0.25">
      <c r="A29" s="249"/>
      <c r="B29" s="313"/>
      <c r="C29" s="254"/>
      <c r="D29" s="270"/>
      <c r="E29" s="255"/>
      <c r="F29" s="85" t="s">
        <v>17</v>
      </c>
      <c r="G29" s="86">
        <f>H29+I29+J29+K29+M29</f>
        <v>0</v>
      </c>
      <c r="H29" s="86">
        <v>0</v>
      </c>
      <c r="I29" s="86">
        <v>0</v>
      </c>
      <c r="J29" s="87">
        <v>0</v>
      </c>
      <c r="K29" s="86">
        <v>0</v>
      </c>
      <c r="L29" s="86">
        <v>0</v>
      </c>
      <c r="M29" s="86">
        <v>0</v>
      </c>
      <c r="N29" s="259"/>
      <c r="P29" s="61"/>
    </row>
    <row r="30" spans="1:18" ht="21.75" customHeight="1" x14ac:dyDescent="0.25">
      <c r="A30" s="247" t="s">
        <v>145</v>
      </c>
      <c r="B30" s="311" t="s">
        <v>24</v>
      </c>
      <c r="C30" s="253" t="s">
        <v>11</v>
      </c>
      <c r="D30" s="268" t="s">
        <v>12</v>
      </c>
      <c r="E30" s="253" t="s">
        <v>153</v>
      </c>
      <c r="F30" s="85" t="s">
        <v>14</v>
      </c>
      <c r="G30" s="86">
        <f t="shared" ref="G30:M30" si="9">G31+G32+G33</f>
        <v>50522013.920000002</v>
      </c>
      <c r="H30" s="86">
        <f t="shared" si="9"/>
        <v>9450400</v>
      </c>
      <c r="I30" s="86">
        <f t="shared" si="9"/>
        <v>9868564</v>
      </c>
      <c r="J30" s="87">
        <f t="shared" si="9"/>
        <v>12666889.92</v>
      </c>
      <c r="K30" s="86">
        <f t="shared" si="9"/>
        <v>8545600</v>
      </c>
      <c r="L30" s="86">
        <f>L31+L32+L33</f>
        <v>8653080</v>
      </c>
      <c r="M30" s="86">
        <f t="shared" si="9"/>
        <v>9990560</v>
      </c>
      <c r="N30" s="259"/>
      <c r="O30" s="61"/>
    </row>
    <row r="31" spans="1:18" ht="21.75" customHeight="1" x14ac:dyDescent="0.25">
      <c r="A31" s="248"/>
      <c r="B31" s="312"/>
      <c r="C31" s="254"/>
      <c r="D31" s="269"/>
      <c r="E31" s="254"/>
      <c r="F31" s="85" t="s">
        <v>133</v>
      </c>
      <c r="G31" s="86">
        <f>H31+I31+J31+K31+M31</f>
        <v>0</v>
      </c>
      <c r="H31" s="86">
        <v>0</v>
      </c>
      <c r="I31" s="86">
        <v>0</v>
      </c>
      <c r="J31" s="87">
        <v>0</v>
      </c>
      <c r="K31" s="86">
        <v>0</v>
      </c>
      <c r="L31" s="86">
        <v>0</v>
      </c>
      <c r="M31" s="86">
        <v>0</v>
      </c>
      <c r="N31" s="259"/>
    </row>
    <row r="32" spans="1:18" ht="21.75" customHeight="1" x14ac:dyDescent="0.25">
      <c r="A32" s="248"/>
      <c r="B32" s="312"/>
      <c r="C32" s="254"/>
      <c r="D32" s="269"/>
      <c r="E32" s="254"/>
      <c r="F32" s="85" t="s">
        <v>16</v>
      </c>
      <c r="G32" s="86">
        <f>H32+I32+J32+K32+M32</f>
        <v>50522013.920000002</v>
      </c>
      <c r="H32" s="86">
        <v>9450400</v>
      </c>
      <c r="I32" s="86">
        <v>9868564</v>
      </c>
      <c r="J32" s="87">
        <v>12666889.92</v>
      </c>
      <c r="K32" s="86">
        <v>8545600</v>
      </c>
      <c r="L32" s="86">
        <v>8653080</v>
      </c>
      <c r="M32" s="86">
        <v>9990560</v>
      </c>
      <c r="N32" s="259"/>
    </row>
    <row r="33" spans="1:41" ht="21.75" customHeight="1" x14ac:dyDescent="0.25">
      <c r="A33" s="249"/>
      <c r="B33" s="313"/>
      <c r="C33" s="254"/>
      <c r="D33" s="270"/>
      <c r="E33" s="255"/>
      <c r="F33" s="85" t="s">
        <v>17</v>
      </c>
      <c r="G33" s="86">
        <f>H33+I33+J33+K33+M33</f>
        <v>0</v>
      </c>
      <c r="H33" s="86">
        <v>0</v>
      </c>
      <c r="I33" s="86">
        <v>0</v>
      </c>
      <c r="J33" s="87">
        <v>0</v>
      </c>
      <c r="K33" s="86">
        <v>0</v>
      </c>
      <c r="L33" s="86">
        <v>0</v>
      </c>
      <c r="M33" s="86">
        <v>0</v>
      </c>
      <c r="N33" s="284"/>
      <c r="P33" s="61"/>
    </row>
    <row r="34" spans="1:41" ht="21.75" customHeight="1" x14ac:dyDescent="0.25">
      <c r="A34" s="299"/>
      <c r="B34" s="302" t="s">
        <v>26</v>
      </c>
      <c r="C34" s="305" t="s">
        <v>11</v>
      </c>
      <c r="D34" s="308" t="s">
        <v>27</v>
      </c>
      <c r="E34" s="305" t="s">
        <v>153</v>
      </c>
      <c r="F34" s="82" t="s">
        <v>14</v>
      </c>
      <c r="G34" s="83">
        <f t="shared" ref="G34:M34" si="10">G35+G36+G37</f>
        <v>2918154049.27</v>
      </c>
      <c r="H34" s="83">
        <f t="shared" si="10"/>
        <v>505658629.72000003</v>
      </c>
      <c r="I34" s="83">
        <f t="shared" si="10"/>
        <v>557839719.20000005</v>
      </c>
      <c r="J34" s="83">
        <f t="shared" si="10"/>
        <v>591237067.14999998</v>
      </c>
      <c r="K34" s="83">
        <f t="shared" si="10"/>
        <v>616206606.97000003</v>
      </c>
      <c r="L34" s="83">
        <f>L35+L36+L37</f>
        <v>631197752.25999999</v>
      </c>
      <c r="M34" s="83">
        <f t="shared" si="10"/>
        <v>647212026.23000002</v>
      </c>
      <c r="N34" s="258" t="s">
        <v>28</v>
      </c>
    </row>
    <row r="35" spans="1:41" ht="21.75" customHeight="1" x14ac:dyDescent="0.25">
      <c r="A35" s="300"/>
      <c r="B35" s="303"/>
      <c r="C35" s="306"/>
      <c r="D35" s="309"/>
      <c r="E35" s="306"/>
      <c r="F35" s="82" t="s">
        <v>133</v>
      </c>
      <c r="G35" s="83">
        <f>H35+I35+J35+K35+M35</f>
        <v>684324284.77999997</v>
      </c>
      <c r="H35" s="83">
        <f t="shared" ref="H35:M37" si="11">H39+H43+H47+H51+H83+H87+H91+H71+H75+H79+H55+H59+H63+H67</f>
        <v>114137373.15000001</v>
      </c>
      <c r="I35" s="83">
        <f t="shared" si="11"/>
        <v>124208329.39000002</v>
      </c>
      <c r="J35" s="83">
        <f t="shared" si="11"/>
        <v>140136671.78</v>
      </c>
      <c r="K35" s="83">
        <f t="shared" si="11"/>
        <v>153202758.22999996</v>
      </c>
      <c r="L35" s="83">
        <f t="shared" si="11"/>
        <v>151153056.25999999</v>
      </c>
      <c r="M35" s="83">
        <f t="shared" si="11"/>
        <v>152639152.22999996</v>
      </c>
      <c r="N35" s="259"/>
      <c r="AO35" s="61">
        <f>SUM('на 01.03.'!$G$34:$AN$93)</f>
        <v>25878840171.199997</v>
      </c>
    </row>
    <row r="36" spans="1:41" ht="21.75" customHeight="1" x14ac:dyDescent="0.25">
      <c r="A36" s="300"/>
      <c r="B36" s="303"/>
      <c r="C36" s="306"/>
      <c r="D36" s="309"/>
      <c r="E36" s="306"/>
      <c r="F36" s="82" t="s">
        <v>16</v>
      </c>
      <c r="G36" s="83">
        <f>H36+I36+J36+K36+M36</f>
        <v>2100169464.49</v>
      </c>
      <c r="H36" s="83">
        <f t="shared" si="11"/>
        <v>380939856.56999999</v>
      </c>
      <c r="I36" s="83">
        <f t="shared" si="11"/>
        <v>402852039.81</v>
      </c>
      <c r="J36" s="83">
        <f t="shared" si="11"/>
        <v>419990345.37</v>
      </c>
      <c r="K36" s="83">
        <f t="shared" si="11"/>
        <v>432598338.74000001</v>
      </c>
      <c r="L36" s="83">
        <f t="shared" si="11"/>
        <v>449260706</v>
      </c>
      <c r="M36" s="83">
        <f t="shared" si="11"/>
        <v>463788884</v>
      </c>
      <c r="N36" s="259"/>
      <c r="AO36" s="61">
        <f>SUM('на 01.03.'!$G$34:$AN$93)</f>
        <v>25878840171.199997</v>
      </c>
    </row>
    <row r="37" spans="1:41" ht="21.75" customHeight="1" x14ac:dyDescent="0.25">
      <c r="A37" s="301"/>
      <c r="B37" s="304"/>
      <c r="C37" s="307"/>
      <c r="D37" s="310"/>
      <c r="E37" s="307"/>
      <c r="F37" s="82" t="s">
        <v>17</v>
      </c>
      <c r="G37" s="83">
        <f>H37+I37+J37+K37+M37</f>
        <v>133660300</v>
      </c>
      <c r="H37" s="83">
        <f t="shared" si="11"/>
        <v>10581400</v>
      </c>
      <c r="I37" s="83">
        <f t="shared" si="11"/>
        <v>30779350</v>
      </c>
      <c r="J37" s="83">
        <f t="shared" si="11"/>
        <v>31110050</v>
      </c>
      <c r="K37" s="83">
        <f t="shared" si="11"/>
        <v>30405510</v>
      </c>
      <c r="L37" s="83">
        <f t="shared" si="11"/>
        <v>30783990</v>
      </c>
      <c r="M37" s="83">
        <f t="shared" si="11"/>
        <v>30783990</v>
      </c>
      <c r="N37" s="259"/>
      <c r="AO37" s="61">
        <f>SUM('на 01.03.'!$G$34:$AN$93)</f>
        <v>25878840171.199997</v>
      </c>
    </row>
    <row r="38" spans="1:41" ht="21.75" hidden="1" customHeight="1" outlineLevel="1" x14ac:dyDescent="0.25">
      <c r="A38" s="247" t="s">
        <v>29</v>
      </c>
      <c r="B38" s="250" t="s">
        <v>30</v>
      </c>
      <c r="C38" s="253" t="s">
        <v>11</v>
      </c>
      <c r="D38" s="268" t="s">
        <v>27</v>
      </c>
      <c r="E38" s="253" t="s">
        <v>153</v>
      </c>
      <c r="F38" s="85" t="s">
        <v>14</v>
      </c>
      <c r="G38" s="86">
        <f t="shared" ref="G38:M38" si="12">G39+G40+G41</f>
        <v>0</v>
      </c>
      <c r="H38" s="86">
        <f t="shared" si="12"/>
        <v>0</v>
      </c>
      <c r="I38" s="86">
        <f t="shared" si="12"/>
        <v>0</v>
      </c>
      <c r="J38" s="87">
        <f t="shared" si="12"/>
        <v>0</v>
      </c>
      <c r="K38" s="86">
        <f t="shared" si="12"/>
        <v>0</v>
      </c>
      <c r="L38" s="86">
        <f>L39+L40+L41</f>
        <v>0</v>
      </c>
      <c r="M38" s="86">
        <f t="shared" si="12"/>
        <v>0</v>
      </c>
      <c r="N38" s="259"/>
      <c r="AO38" s="61">
        <f>SUM('на 01.03.'!$G$34:$AN$93)</f>
        <v>25878840171.199997</v>
      </c>
    </row>
    <row r="39" spans="1:41" ht="21.75" hidden="1" customHeight="1" outlineLevel="1" x14ac:dyDescent="0.25">
      <c r="A39" s="248"/>
      <c r="B39" s="251"/>
      <c r="C39" s="254"/>
      <c r="D39" s="269"/>
      <c r="E39" s="254"/>
      <c r="F39" s="85" t="s">
        <v>133</v>
      </c>
      <c r="G39" s="86">
        <f>H39+I39+J39+K39+M39</f>
        <v>0</v>
      </c>
      <c r="H39" s="86">
        <v>0</v>
      </c>
      <c r="I39" s="86">
        <v>0</v>
      </c>
      <c r="J39" s="87">
        <v>0</v>
      </c>
      <c r="K39" s="86">
        <v>0</v>
      </c>
      <c r="L39" s="86">
        <v>0</v>
      </c>
      <c r="M39" s="86">
        <v>0</v>
      </c>
      <c r="N39" s="259"/>
      <c r="AO39" s="61">
        <f>SUM(AO35:AO38)</f>
        <v>103515360684.79999</v>
      </c>
    </row>
    <row r="40" spans="1:41" ht="21.75" hidden="1" customHeight="1" outlineLevel="1" x14ac:dyDescent="0.25">
      <c r="A40" s="248"/>
      <c r="B40" s="251"/>
      <c r="C40" s="254"/>
      <c r="D40" s="269"/>
      <c r="E40" s="254"/>
      <c r="F40" s="85" t="s">
        <v>16</v>
      </c>
      <c r="G40" s="86">
        <f>H40+I40+J40+K40+M40</f>
        <v>0</v>
      </c>
      <c r="H40" s="86"/>
      <c r="I40" s="86"/>
      <c r="J40" s="87"/>
      <c r="K40" s="86"/>
      <c r="L40" s="86"/>
      <c r="M40" s="86"/>
      <c r="N40" s="259"/>
    </row>
    <row r="41" spans="1:41" ht="21.75" hidden="1" customHeight="1" outlineLevel="1" x14ac:dyDescent="0.25">
      <c r="A41" s="249"/>
      <c r="B41" s="252"/>
      <c r="C41" s="254"/>
      <c r="D41" s="270"/>
      <c r="E41" s="255"/>
      <c r="F41" s="85" t="s">
        <v>17</v>
      </c>
      <c r="G41" s="86">
        <f>H41+I41+J41+K41+M41</f>
        <v>0</v>
      </c>
      <c r="H41" s="86">
        <v>0</v>
      </c>
      <c r="I41" s="86">
        <v>0</v>
      </c>
      <c r="J41" s="87">
        <v>0</v>
      </c>
      <c r="K41" s="86">
        <v>0</v>
      </c>
      <c r="L41" s="86">
        <v>0</v>
      </c>
      <c r="M41" s="86">
        <v>0</v>
      </c>
      <c r="N41" s="259"/>
      <c r="O41" s="61"/>
    </row>
    <row r="42" spans="1:41" ht="21.75" hidden="1" customHeight="1" outlineLevel="1" x14ac:dyDescent="0.25">
      <c r="A42" s="247" t="s">
        <v>31</v>
      </c>
      <c r="B42" s="250" t="s">
        <v>32</v>
      </c>
      <c r="C42" s="253" t="s">
        <v>11</v>
      </c>
      <c r="D42" s="268" t="s">
        <v>27</v>
      </c>
      <c r="E42" s="253" t="s">
        <v>153</v>
      </c>
      <c r="F42" s="85" t="s">
        <v>14</v>
      </c>
      <c r="G42" s="86">
        <f t="shared" ref="G42:M42" si="13">G43+G44+G45</f>
        <v>0</v>
      </c>
      <c r="H42" s="86">
        <f t="shared" si="13"/>
        <v>0</v>
      </c>
      <c r="I42" s="86">
        <f t="shared" si="13"/>
        <v>0</v>
      </c>
      <c r="J42" s="87">
        <f t="shared" si="13"/>
        <v>0</v>
      </c>
      <c r="K42" s="86">
        <f t="shared" si="13"/>
        <v>0</v>
      </c>
      <c r="L42" s="86">
        <f>L43+L44+L45</f>
        <v>0</v>
      </c>
      <c r="M42" s="86">
        <f t="shared" si="13"/>
        <v>0</v>
      </c>
      <c r="N42" s="259"/>
      <c r="P42" s="61"/>
    </row>
    <row r="43" spans="1:41" ht="21.75" hidden="1" customHeight="1" outlineLevel="1" x14ac:dyDescent="0.25">
      <c r="A43" s="248"/>
      <c r="B43" s="251"/>
      <c r="C43" s="254"/>
      <c r="D43" s="269"/>
      <c r="E43" s="254"/>
      <c r="F43" s="85" t="s">
        <v>133</v>
      </c>
      <c r="G43" s="86">
        <f>H43+I43+J43+K43+M43</f>
        <v>0</v>
      </c>
      <c r="H43" s="86">
        <v>0</v>
      </c>
      <c r="I43" s="86">
        <v>0</v>
      </c>
      <c r="J43" s="87">
        <v>0</v>
      </c>
      <c r="K43" s="86">
        <v>0</v>
      </c>
      <c r="L43" s="86">
        <v>0</v>
      </c>
      <c r="M43" s="86">
        <v>0</v>
      </c>
      <c r="N43" s="259"/>
    </row>
    <row r="44" spans="1:41" ht="21.75" hidden="1" customHeight="1" outlineLevel="1" x14ac:dyDescent="0.25">
      <c r="A44" s="248"/>
      <c r="B44" s="251"/>
      <c r="C44" s="254"/>
      <c r="D44" s="269"/>
      <c r="E44" s="254"/>
      <c r="F44" s="85" t="s">
        <v>16</v>
      </c>
      <c r="G44" s="86">
        <f>H44+I44+J44+K44+M44</f>
        <v>0</v>
      </c>
      <c r="H44" s="86"/>
      <c r="I44" s="86"/>
      <c r="J44" s="87"/>
      <c r="K44" s="86"/>
      <c r="L44" s="86"/>
      <c r="M44" s="86"/>
      <c r="N44" s="259"/>
      <c r="O44" s="88">
        <f>'[3]9 мес 2021'!$H$25-I44</f>
        <v>8816768</v>
      </c>
    </row>
    <row r="45" spans="1:41" ht="21.75" hidden="1" customHeight="1" outlineLevel="1" x14ac:dyDescent="0.25">
      <c r="A45" s="249"/>
      <c r="B45" s="252"/>
      <c r="C45" s="254"/>
      <c r="D45" s="270"/>
      <c r="E45" s="255"/>
      <c r="F45" s="85" t="s">
        <v>17</v>
      </c>
      <c r="G45" s="86">
        <f>H45+I45+J45+K45+M45</f>
        <v>0</v>
      </c>
      <c r="H45" s="86">
        <v>0</v>
      </c>
      <c r="I45" s="86">
        <v>0</v>
      </c>
      <c r="J45" s="87">
        <v>0</v>
      </c>
      <c r="K45" s="86">
        <v>0</v>
      </c>
      <c r="L45" s="86">
        <v>0</v>
      </c>
      <c r="M45" s="86">
        <v>0</v>
      </c>
      <c r="N45" s="259"/>
      <c r="O45" s="89"/>
    </row>
    <row r="46" spans="1:41" ht="21.75" hidden="1" customHeight="1" outlineLevel="1" x14ac:dyDescent="0.25">
      <c r="A46" s="247" t="s">
        <v>33</v>
      </c>
      <c r="B46" s="250" t="s">
        <v>34</v>
      </c>
      <c r="C46" s="253" t="s">
        <v>11</v>
      </c>
      <c r="D46" s="268" t="s">
        <v>27</v>
      </c>
      <c r="E46" s="253" t="s">
        <v>153</v>
      </c>
      <c r="F46" s="85" t="s">
        <v>14</v>
      </c>
      <c r="G46" s="86">
        <f t="shared" ref="G46:M46" si="14">G47+G48+G49</f>
        <v>0</v>
      </c>
      <c r="H46" s="86">
        <f t="shared" si="14"/>
        <v>0</v>
      </c>
      <c r="I46" s="86">
        <f t="shared" si="14"/>
        <v>0</v>
      </c>
      <c r="J46" s="87">
        <f t="shared" si="14"/>
        <v>0</v>
      </c>
      <c r="K46" s="86">
        <f t="shared" si="14"/>
        <v>0</v>
      </c>
      <c r="L46" s="86">
        <f>L47+L48+L49</f>
        <v>0</v>
      </c>
      <c r="M46" s="86">
        <f t="shared" si="14"/>
        <v>0</v>
      </c>
      <c r="N46" s="259"/>
      <c r="O46" s="89"/>
    </row>
    <row r="47" spans="1:41" ht="21.75" hidden="1" customHeight="1" outlineLevel="1" x14ac:dyDescent="0.25">
      <c r="A47" s="248"/>
      <c r="B47" s="251"/>
      <c r="C47" s="254"/>
      <c r="D47" s="269"/>
      <c r="E47" s="254"/>
      <c r="F47" s="85" t="s">
        <v>133</v>
      </c>
      <c r="G47" s="86">
        <f>H47+I47+J47+K47+M47</f>
        <v>0</v>
      </c>
      <c r="H47" s="86">
        <v>0</v>
      </c>
      <c r="I47" s="86">
        <v>0</v>
      </c>
      <c r="J47" s="87">
        <v>0</v>
      </c>
      <c r="K47" s="86">
        <v>0</v>
      </c>
      <c r="L47" s="86">
        <v>0</v>
      </c>
      <c r="M47" s="86">
        <v>0</v>
      </c>
      <c r="N47" s="259"/>
      <c r="O47" s="89"/>
    </row>
    <row r="48" spans="1:41" ht="21.75" hidden="1" customHeight="1" outlineLevel="1" x14ac:dyDescent="0.25">
      <c r="A48" s="248"/>
      <c r="B48" s="251"/>
      <c r="C48" s="254"/>
      <c r="D48" s="269"/>
      <c r="E48" s="254"/>
      <c r="F48" s="85" t="s">
        <v>16</v>
      </c>
      <c r="G48" s="86">
        <f>H48+I48+J48+K48+M48</f>
        <v>0</v>
      </c>
      <c r="H48" s="86"/>
      <c r="I48" s="86"/>
      <c r="J48" s="87"/>
      <c r="K48" s="86"/>
      <c r="L48" s="86"/>
      <c r="M48" s="86"/>
      <c r="N48" s="259"/>
      <c r="O48" s="88"/>
    </row>
    <row r="49" spans="1:16" ht="21.75" hidden="1" customHeight="1" outlineLevel="1" x14ac:dyDescent="0.25">
      <c r="A49" s="249"/>
      <c r="B49" s="252"/>
      <c r="C49" s="254"/>
      <c r="D49" s="270"/>
      <c r="E49" s="255"/>
      <c r="F49" s="85" t="s">
        <v>17</v>
      </c>
      <c r="G49" s="86">
        <f>H49+I49+J49+K49+M49</f>
        <v>0</v>
      </c>
      <c r="H49" s="86">
        <v>0</v>
      </c>
      <c r="I49" s="86">
        <v>0</v>
      </c>
      <c r="J49" s="87">
        <v>0</v>
      </c>
      <c r="K49" s="86">
        <v>0</v>
      </c>
      <c r="L49" s="86">
        <v>0</v>
      </c>
      <c r="M49" s="86">
        <v>0</v>
      </c>
      <c r="N49" s="259"/>
    </row>
    <row r="50" spans="1:16" ht="21.75" customHeight="1" collapsed="1" x14ac:dyDescent="0.25">
      <c r="A50" s="247" t="s">
        <v>18</v>
      </c>
      <c r="B50" s="311" t="s">
        <v>35</v>
      </c>
      <c r="C50" s="253" t="s">
        <v>11</v>
      </c>
      <c r="D50" s="268" t="s">
        <v>27</v>
      </c>
      <c r="E50" s="253" t="s">
        <v>153</v>
      </c>
      <c r="F50" s="85" t="s">
        <v>14</v>
      </c>
      <c r="G50" s="86">
        <f t="shared" ref="G50:M50" si="15">G51+G52+G53</f>
        <v>2601779064.29</v>
      </c>
      <c r="H50" s="86">
        <f t="shared" si="15"/>
        <v>470828018.72000003</v>
      </c>
      <c r="I50" s="86">
        <f t="shared" si="15"/>
        <v>487676039.38999999</v>
      </c>
      <c r="J50" s="87">
        <f t="shared" si="15"/>
        <v>517542710.49000001</v>
      </c>
      <c r="K50" s="86">
        <f t="shared" si="15"/>
        <v>551587039.0999999</v>
      </c>
      <c r="L50" s="86">
        <f>L51+L52+L53</f>
        <v>563780982.62</v>
      </c>
      <c r="M50" s="86">
        <f t="shared" si="15"/>
        <v>574145256.58999991</v>
      </c>
      <c r="N50" s="259"/>
      <c r="O50" s="61"/>
    </row>
    <row r="51" spans="1:16" ht="21.75" customHeight="1" x14ac:dyDescent="0.25">
      <c r="A51" s="248"/>
      <c r="B51" s="312"/>
      <c r="C51" s="254"/>
      <c r="D51" s="269"/>
      <c r="E51" s="254"/>
      <c r="F51" s="85" t="s">
        <v>133</v>
      </c>
      <c r="G51" s="86">
        <f>H51+I51+J51+K51+M51</f>
        <v>670742244.19999993</v>
      </c>
      <c r="H51" s="86">
        <v>111005611.15000001</v>
      </c>
      <c r="I51" s="86">
        <f>112774045.47+5964026+1921557.81+130535.61</f>
        <v>120790164.89</v>
      </c>
      <c r="J51" s="87">
        <v>137433722.97999999</v>
      </c>
      <c r="K51" s="86">
        <v>150756372.58999997</v>
      </c>
      <c r="L51" s="86">
        <v>149270276.62</v>
      </c>
      <c r="M51" s="86">
        <v>150756372.58999997</v>
      </c>
      <c r="N51" s="259"/>
    </row>
    <row r="52" spans="1:16" ht="21.75" customHeight="1" x14ac:dyDescent="0.25">
      <c r="A52" s="248"/>
      <c r="B52" s="312"/>
      <c r="C52" s="254"/>
      <c r="D52" s="269"/>
      <c r="E52" s="254"/>
      <c r="F52" s="85" t="s">
        <v>16</v>
      </c>
      <c r="G52" s="86">
        <f>H52+I52+J52+K52+M52</f>
        <v>1920455420.0899999</v>
      </c>
      <c r="H52" s="86">
        <f>349241007.57</f>
        <v>349241007.56999999</v>
      </c>
      <c r="I52" s="86">
        <f>366885874.5</f>
        <v>366885874.5</v>
      </c>
      <c r="J52" s="87">
        <f>347896678+12327200+2879809.51+12005300+5000000</f>
        <v>380108987.50999999</v>
      </c>
      <c r="K52" s="86">
        <v>400830666.50999999</v>
      </c>
      <c r="L52" s="86">
        <v>414510706</v>
      </c>
      <c r="M52" s="86">
        <v>423388884</v>
      </c>
      <c r="N52" s="259"/>
      <c r="O52" s="61"/>
    </row>
    <row r="53" spans="1:16" ht="21.75" customHeight="1" x14ac:dyDescent="0.25">
      <c r="A53" s="249"/>
      <c r="B53" s="313"/>
      <c r="C53" s="254"/>
      <c r="D53" s="270"/>
      <c r="E53" s="255"/>
      <c r="F53" s="85" t="s">
        <v>17</v>
      </c>
      <c r="G53" s="86">
        <f>H53+I53+J53+K53+M53</f>
        <v>10581400</v>
      </c>
      <c r="H53" s="86">
        <v>10581400</v>
      </c>
      <c r="I53" s="86">
        <v>0</v>
      </c>
      <c r="J53" s="87">
        <v>0</v>
      </c>
      <c r="K53" s="86">
        <v>0</v>
      </c>
      <c r="L53" s="86">
        <v>0</v>
      </c>
      <c r="M53" s="86">
        <v>0</v>
      </c>
      <c r="N53" s="259"/>
      <c r="O53" s="89"/>
      <c r="P53" s="90"/>
    </row>
    <row r="54" spans="1:16" ht="21.75" customHeight="1" collapsed="1" x14ac:dyDescent="0.25">
      <c r="A54" s="247" t="s">
        <v>25</v>
      </c>
      <c r="B54" s="311" t="s">
        <v>40</v>
      </c>
      <c r="C54" s="253" t="s">
        <v>11</v>
      </c>
      <c r="D54" s="268" t="s">
        <v>27</v>
      </c>
      <c r="E54" s="253" t="s">
        <v>153</v>
      </c>
      <c r="F54" s="85" t="s">
        <v>14</v>
      </c>
      <c r="G54" s="86">
        <f t="shared" ref="G54:M54" si="16">G55+G56+G57</f>
        <v>123078900</v>
      </c>
      <c r="H54" s="86">
        <f t="shared" si="16"/>
        <v>0</v>
      </c>
      <c r="I54" s="86">
        <f t="shared" si="16"/>
        <v>30779350</v>
      </c>
      <c r="J54" s="87">
        <f t="shared" si="16"/>
        <v>31110050</v>
      </c>
      <c r="K54" s="86">
        <f t="shared" si="16"/>
        <v>30405510</v>
      </c>
      <c r="L54" s="86">
        <f t="shared" si="16"/>
        <v>30783990</v>
      </c>
      <c r="M54" s="86">
        <f t="shared" si="16"/>
        <v>30783990</v>
      </c>
      <c r="N54" s="259"/>
    </row>
    <row r="55" spans="1:16" ht="21.75" customHeight="1" x14ac:dyDescent="0.25">
      <c r="A55" s="248"/>
      <c r="B55" s="312"/>
      <c r="C55" s="254"/>
      <c r="D55" s="269"/>
      <c r="E55" s="254"/>
      <c r="F55" s="85" t="s">
        <v>133</v>
      </c>
      <c r="G55" s="86">
        <f>H55+I55+J55+K55+M55</f>
        <v>0</v>
      </c>
      <c r="H55" s="86">
        <v>0</v>
      </c>
      <c r="I55" s="86">
        <v>0</v>
      </c>
      <c r="J55" s="87">
        <v>0</v>
      </c>
      <c r="K55" s="86">
        <v>0</v>
      </c>
      <c r="L55" s="86">
        <v>0</v>
      </c>
      <c r="M55" s="86">
        <v>0</v>
      </c>
      <c r="N55" s="259"/>
    </row>
    <row r="56" spans="1:16" ht="21.75" customHeight="1" x14ac:dyDescent="0.25">
      <c r="A56" s="248"/>
      <c r="B56" s="312"/>
      <c r="C56" s="254"/>
      <c r="D56" s="269"/>
      <c r="E56" s="254"/>
      <c r="F56" s="85" t="s">
        <v>16</v>
      </c>
      <c r="G56" s="86">
        <f>H56+I56+J56+K56+M56</f>
        <v>0</v>
      </c>
      <c r="H56" s="86">
        <v>0</v>
      </c>
      <c r="I56" s="86">
        <v>0</v>
      </c>
      <c r="J56" s="87">
        <v>0</v>
      </c>
      <c r="K56" s="86">
        <v>0</v>
      </c>
      <c r="L56" s="86">
        <v>0</v>
      </c>
      <c r="M56" s="86">
        <v>0</v>
      </c>
      <c r="N56" s="259"/>
    </row>
    <row r="57" spans="1:16" ht="21.75" customHeight="1" x14ac:dyDescent="0.25">
      <c r="A57" s="249"/>
      <c r="B57" s="313"/>
      <c r="C57" s="254"/>
      <c r="D57" s="270"/>
      <c r="E57" s="255"/>
      <c r="F57" s="85" t="s">
        <v>17</v>
      </c>
      <c r="G57" s="86">
        <f>H57+I57+J57+K57+M57</f>
        <v>123078900</v>
      </c>
      <c r="H57" s="86">
        <v>0</v>
      </c>
      <c r="I57" s="86">
        <v>30779350</v>
      </c>
      <c r="J57" s="87">
        <v>31110050</v>
      </c>
      <c r="K57" s="86">
        <v>30405510</v>
      </c>
      <c r="L57" s="86">
        <v>30783990</v>
      </c>
      <c r="M57" s="86">
        <v>30783990</v>
      </c>
      <c r="N57" s="259"/>
    </row>
    <row r="58" spans="1:16" ht="21.75" customHeight="1" x14ac:dyDescent="0.25">
      <c r="A58" s="265" t="s">
        <v>44</v>
      </c>
      <c r="B58" s="250" t="s">
        <v>43</v>
      </c>
      <c r="C58" s="253" t="s">
        <v>11</v>
      </c>
      <c r="D58" s="262" t="s">
        <v>37</v>
      </c>
      <c r="E58" s="253" t="s">
        <v>153</v>
      </c>
      <c r="F58" s="85" t="s">
        <v>14</v>
      </c>
      <c r="G58" s="86">
        <f t="shared" ref="G58:M58" si="17">G59+G60+G61</f>
        <v>300000</v>
      </c>
      <c r="H58" s="86">
        <f t="shared" si="17"/>
        <v>60000</v>
      </c>
      <c r="I58" s="86">
        <f t="shared" si="17"/>
        <v>60000</v>
      </c>
      <c r="J58" s="87">
        <f t="shared" si="17"/>
        <v>60000</v>
      </c>
      <c r="K58" s="86">
        <f t="shared" si="17"/>
        <v>60000</v>
      </c>
      <c r="L58" s="86">
        <f t="shared" si="17"/>
        <v>60000</v>
      </c>
      <c r="M58" s="86">
        <f t="shared" si="17"/>
        <v>60000</v>
      </c>
      <c r="N58" s="259"/>
    </row>
    <row r="59" spans="1:16" ht="21.75" customHeight="1" x14ac:dyDescent="0.25">
      <c r="A59" s="266"/>
      <c r="B59" s="251"/>
      <c r="C59" s="254"/>
      <c r="D59" s="263"/>
      <c r="E59" s="254"/>
      <c r="F59" s="85" t="s">
        <v>133</v>
      </c>
      <c r="G59" s="86">
        <f>H59+I59+J59+K59+M59</f>
        <v>300000</v>
      </c>
      <c r="H59" s="86">
        <v>60000</v>
      </c>
      <c r="I59" s="86">
        <v>60000</v>
      </c>
      <c r="J59" s="87">
        <v>60000</v>
      </c>
      <c r="K59" s="86">
        <v>60000</v>
      </c>
      <c r="L59" s="86">
        <v>60000</v>
      </c>
      <c r="M59" s="86">
        <v>60000</v>
      </c>
      <c r="N59" s="259"/>
    </row>
    <row r="60" spans="1:16" ht="21.75" customHeight="1" x14ac:dyDescent="0.25">
      <c r="A60" s="266"/>
      <c r="B60" s="251"/>
      <c r="C60" s="254"/>
      <c r="D60" s="263"/>
      <c r="E60" s="254"/>
      <c r="F60" s="85" t="s">
        <v>16</v>
      </c>
      <c r="G60" s="86">
        <f>H60+I60+J60+K60+M60</f>
        <v>0</v>
      </c>
      <c r="H60" s="86">
        <v>0</v>
      </c>
      <c r="I60" s="86">
        <v>0</v>
      </c>
      <c r="J60" s="87">
        <v>0</v>
      </c>
      <c r="K60" s="86">
        <v>0</v>
      </c>
      <c r="L60" s="86">
        <v>0</v>
      </c>
      <c r="M60" s="86">
        <v>0</v>
      </c>
      <c r="N60" s="259"/>
    </row>
    <row r="61" spans="1:16" ht="21" customHeight="1" x14ac:dyDescent="0.25">
      <c r="A61" s="267"/>
      <c r="B61" s="252"/>
      <c r="C61" s="254"/>
      <c r="D61" s="264"/>
      <c r="E61" s="255"/>
      <c r="F61" s="85" t="s">
        <v>17</v>
      </c>
      <c r="G61" s="86">
        <f>H61+I61+J61+K61+M61</f>
        <v>0</v>
      </c>
      <c r="H61" s="86">
        <v>0</v>
      </c>
      <c r="I61" s="86">
        <v>0</v>
      </c>
      <c r="J61" s="87">
        <v>0</v>
      </c>
      <c r="K61" s="86">
        <v>0</v>
      </c>
      <c r="L61" s="86">
        <v>0</v>
      </c>
      <c r="M61" s="86">
        <v>0</v>
      </c>
      <c r="N61" s="259"/>
    </row>
    <row r="62" spans="1:16" ht="21.75" customHeight="1" x14ac:dyDescent="0.25">
      <c r="A62" s="265" t="s">
        <v>48</v>
      </c>
      <c r="B62" s="311" t="s">
        <v>53</v>
      </c>
      <c r="C62" s="253" t="s">
        <v>11</v>
      </c>
      <c r="D62" s="262" t="s">
        <v>54</v>
      </c>
      <c r="E62" s="253" t="s">
        <v>153</v>
      </c>
      <c r="F62" s="85" t="s">
        <v>14</v>
      </c>
      <c r="G62" s="86">
        <f t="shared" ref="G62:M62" si="18">G63+G64+G65</f>
        <v>1887641.65</v>
      </c>
      <c r="H62" s="86">
        <f t="shared" si="18"/>
        <v>393480</v>
      </c>
      <c r="I62" s="86">
        <f t="shared" si="18"/>
        <v>1094161.6499999999</v>
      </c>
      <c r="J62" s="87">
        <f t="shared" si="18"/>
        <v>400000</v>
      </c>
      <c r="K62" s="86">
        <f t="shared" si="18"/>
        <v>0</v>
      </c>
      <c r="L62" s="86">
        <f t="shared" si="18"/>
        <v>0</v>
      </c>
      <c r="M62" s="86">
        <f t="shared" si="18"/>
        <v>0</v>
      </c>
      <c r="N62" s="259"/>
    </row>
    <row r="63" spans="1:16" ht="21.75" customHeight="1" x14ac:dyDescent="0.25">
      <c r="A63" s="266"/>
      <c r="B63" s="312"/>
      <c r="C63" s="254"/>
      <c r="D63" s="263"/>
      <c r="E63" s="254"/>
      <c r="F63" s="85" t="s">
        <v>133</v>
      </c>
      <c r="G63" s="86">
        <f>H63+I63+J63+K63+M63</f>
        <v>1887641.65</v>
      </c>
      <c r="H63" s="86">
        <v>393480</v>
      </c>
      <c r="I63" s="86">
        <f>20000+1074161.65</f>
        <v>1094161.6499999999</v>
      </c>
      <c r="J63" s="87">
        <f>500000-100000</f>
        <v>400000</v>
      </c>
      <c r="K63" s="86">
        <v>0</v>
      </c>
      <c r="L63" s="86">
        <v>0</v>
      </c>
      <c r="M63" s="86">
        <v>0</v>
      </c>
      <c r="N63" s="259"/>
    </row>
    <row r="64" spans="1:16" ht="21.75" customHeight="1" x14ac:dyDescent="0.25">
      <c r="A64" s="266"/>
      <c r="B64" s="312"/>
      <c r="C64" s="254"/>
      <c r="D64" s="263"/>
      <c r="E64" s="254"/>
      <c r="F64" s="85" t="s">
        <v>16</v>
      </c>
      <c r="G64" s="86">
        <f>H64+I64+J64+K64+M64</f>
        <v>0</v>
      </c>
      <c r="H64" s="86">
        <v>0</v>
      </c>
      <c r="I64" s="86">
        <v>0</v>
      </c>
      <c r="J64" s="87">
        <v>0</v>
      </c>
      <c r="K64" s="86">
        <v>0</v>
      </c>
      <c r="L64" s="86">
        <v>0</v>
      </c>
      <c r="M64" s="86">
        <v>0</v>
      </c>
      <c r="N64" s="259"/>
    </row>
    <row r="65" spans="1:14" ht="21.75" customHeight="1" x14ac:dyDescent="0.25">
      <c r="A65" s="267"/>
      <c r="B65" s="313"/>
      <c r="C65" s="254"/>
      <c r="D65" s="264"/>
      <c r="E65" s="255"/>
      <c r="F65" s="85" t="s">
        <v>17</v>
      </c>
      <c r="G65" s="86">
        <f>H65+I65+J65+K65+M65</f>
        <v>0</v>
      </c>
      <c r="H65" s="86">
        <v>0</v>
      </c>
      <c r="I65" s="86">
        <v>0</v>
      </c>
      <c r="J65" s="87">
        <v>0</v>
      </c>
      <c r="K65" s="86">
        <v>0</v>
      </c>
      <c r="L65" s="86">
        <v>0</v>
      </c>
      <c r="M65" s="86">
        <v>0</v>
      </c>
      <c r="N65" s="259"/>
    </row>
    <row r="66" spans="1:14" ht="21.75" customHeight="1" x14ac:dyDescent="0.25">
      <c r="A66" s="314" t="s">
        <v>56</v>
      </c>
      <c r="B66" s="287" t="s">
        <v>41</v>
      </c>
      <c r="C66" s="290" t="s">
        <v>11</v>
      </c>
      <c r="D66" s="292" t="s">
        <v>42</v>
      </c>
      <c r="E66" s="290" t="s">
        <v>153</v>
      </c>
      <c r="F66" s="91" t="s">
        <v>14</v>
      </c>
      <c r="G66" s="87">
        <f t="shared" ref="G66:M66" si="19">G67+G68+G69</f>
        <v>220242.99</v>
      </c>
      <c r="H66" s="87">
        <f t="shared" si="19"/>
        <v>0</v>
      </c>
      <c r="I66" s="87">
        <f t="shared" si="19"/>
        <v>0</v>
      </c>
      <c r="J66" s="87">
        <f t="shared" si="19"/>
        <v>220242.99</v>
      </c>
      <c r="K66" s="87">
        <f t="shared" si="19"/>
        <v>0</v>
      </c>
      <c r="L66" s="87">
        <f t="shared" si="19"/>
        <v>0</v>
      </c>
      <c r="M66" s="87">
        <f t="shared" si="19"/>
        <v>0</v>
      </c>
      <c r="N66" s="259"/>
    </row>
    <row r="67" spans="1:14" ht="21.75" customHeight="1" x14ac:dyDescent="0.25">
      <c r="A67" s="315"/>
      <c r="B67" s="288"/>
      <c r="C67" s="291"/>
      <c r="D67" s="293"/>
      <c r="E67" s="291"/>
      <c r="F67" s="91" t="s">
        <v>15</v>
      </c>
      <c r="G67" s="87">
        <f>H67+I67+J67+K67+L67</f>
        <v>220242.99</v>
      </c>
      <c r="H67" s="87">
        <v>0</v>
      </c>
      <c r="I67" s="87">
        <v>0</v>
      </c>
      <c r="J67" s="87">
        <v>220242.99</v>
      </c>
      <c r="K67" s="87">
        <v>0</v>
      </c>
      <c r="L67" s="87">
        <v>0</v>
      </c>
      <c r="M67" s="87">
        <v>0</v>
      </c>
      <c r="N67" s="259"/>
    </row>
    <row r="68" spans="1:14" ht="21.75" customHeight="1" x14ac:dyDescent="0.25">
      <c r="A68" s="315"/>
      <c r="B68" s="288"/>
      <c r="C68" s="291"/>
      <c r="D68" s="293"/>
      <c r="E68" s="291"/>
      <c r="F68" s="91" t="s">
        <v>16</v>
      </c>
      <c r="G68" s="87">
        <f>H68+I68+J68+K68+L68</f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259"/>
    </row>
    <row r="69" spans="1:14" ht="21.75" customHeight="1" x14ac:dyDescent="0.25">
      <c r="A69" s="316"/>
      <c r="B69" s="289"/>
      <c r="C69" s="291"/>
      <c r="D69" s="294"/>
      <c r="E69" s="295"/>
      <c r="F69" s="91" t="s">
        <v>17</v>
      </c>
      <c r="G69" s="87">
        <f>H69+I69+J69+K69+L69</f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259"/>
    </row>
    <row r="70" spans="1:14" ht="21.75" customHeight="1" collapsed="1" x14ac:dyDescent="0.25">
      <c r="A70" s="265" t="s">
        <v>94</v>
      </c>
      <c r="B70" s="250" t="s">
        <v>45</v>
      </c>
      <c r="C70" s="253" t="s">
        <v>11</v>
      </c>
      <c r="D70" s="268" t="s">
        <v>42</v>
      </c>
      <c r="E70" s="253" t="s">
        <v>153</v>
      </c>
      <c r="F70" s="85" t="s">
        <v>14</v>
      </c>
      <c r="G70" s="86">
        <f t="shared" ref="G70:M70" si="20">G71+G72+G73</f>
        <v>500000</v>
      </c>
      <c r="H70" s="86">
        <f t="shared" si="20"/>
        <v>90000</v>
      </c>
      <c r="I70" s="86">
        <f t="shared" si="20"/>
        <v>100000</v>
      </c>
      <c r="J70" s="86">
        <f t="shared" si="20"/>
        <v>100000</v>
      </c>
      <c r="K70" s="86">
        <f t="shared" si="20"/>
        <v>105000</v>
      </c>
      <c r="L70" s="86">
        <f t="shared" si="20"/>
        <v>105000</v>
      </c>
      <c r="M70" s="86">
        <f t="shared" si="20"/>
        <v>105000</v>
      </c>
      <c r="N70" s="259"/>
    </row>
    <row r="71" spans="1:14" ht="21.75" customHeight="1" x14ac:dyDescent="0.25">
      <c r="A71" s="266"/>
      <c r="B71" s="251"/>
      <c r="C71" s="254"/>
      <c r="D71" s="269"/>
      <c r="E71" s="254"/>
      <c r="F71" s="85" t="s">
        <v>133</v>
      </c>
      <c r="G71" s="86">
        <f>H71+I71+J71+K71+M71</f>
        <v>500000</v>
      </c>
      <c r="H71" s="86">
        <v>90000</v>
      </c>
      <c r="I71" s="86">
        <f>100000</f>
        <v>100000</v>
      </c>
      <c r="J71" s="86">
        <v>100000</v>
      </c>
      <c r="K71" s="86">
        <v>105000</v>
      </c>
      <c r="L71" s="86">
        <v>105000</v>
      </c>
      <c r="M71" s="86">
        <v>105000</v>
      </c>
      <c r="N71" s="259"/>
    </row>
    <row r="72" spans="1:14" ht="21.75" customHeight="1" x14ac:dyDescent="0.25">
      <c r="A72" s="266"/>
      <c r="B72" s="251"/>
      <c r="C72" s="254"/>
      <c r="D72" s="269"/>
      <c r="E72" s="254"/>
      <c r="F72" s="85" t="s">
        <v>16</v>
      </c>
      <c r="G72" s="86">
        <f>H72+I72+J72+K72+M72</f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259"/>
    </row>
    <row r="73" spans="1:14" ht="21.75" customHeight="1" x14ac:dyDescent="0.25">
      <c r="A73" s="267"/>
      <c r="B73" s="252"/>
      <c r="C73" s="254"/>
      <c r="D73" s="270"/>
      <c r="E73" s="255"/>
      <c r="F73" s="85" t="s">
        <v>17</v>
      </c>
      <c r="G73" s="86">
        <f>H73+I73+J73+K73+M73</f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259"/>
    </row>
    <row r="74" spans="1:14" ht="21.75" customHeight="1" x14ac:dyDescent="0.25">
      <c r="A74" s="247" t="s">
        <v>102</v>
      </c>
      <c r="B74" s="250" t="s">
        <v>36</v>
      </c>
      <c r="C74" s="253" t="s">
        <v>11</v>
      </c>
      <c r="D74" s="262" t="s">
        <v>37</v>
      </c>
      <c r="E74" s="253" t="s">
        <v>153</v>
      </c>
      <c r="F74" s="85" t="s">
        <v>14</v>
      </c>
      <c r="G74" s="86">
        <f t="shared" ref="G74:M74" si="21">G75+G76+G77</f>
        <v>4661070.7300000004</v>
      </c>
      <c r="H74" s="86">
        <f t="shared" si="21"/>
        <v>1481975</v>
      </c>
      <c r="I74" s="86">
        <f t="shared" si="21"/>
        <v>653058.44999999995</v>
      </c>
      <c r="J74" s="87">
        <f t="shared" si="21"/>
        <v>888490</v>
      </c>
      <c r="K74" s="86">
        <f t="shared" si="21"/>
        <v>1068773.6400000001</v>
      </c>
      <c r="L74" s="86">
        <f t="shared" si="21"/>
        <v>568773.64</v>
      </c>
      <c r="M74" s="86">
        <f t="shared" si="21"/>
        <v>568773.64</v>
      </c>
      <c r="N74" s="259"/>
    </row>
    <row r="75" spans="1:14" ht="21.75" customHeight="1" x14ac:dyDescent="0.25">
      <c r="A75" s="248"/>
      <c r="B75" s="251"/>
      <c r="C75" s="254"/>
      <c r="D75" s="263"/>
      <c r="E75" s="254"/>
      <c r="F75" s="85" t="s">
        <v>133</v>
      </c>
      <c r="G75" s="86">
        <f>H75+I75+J75+K75+M75</f>
        <v>4661070.7300000004</v>
      </c>
      <c r="H75" s="86">
        <v>1481975</v>
      </c>
      <c r="I75" s="86">
        <f>1481975-602271.91-226644.64</f>
        <v>653058.44999999995</v>
      </c>
      <c r="J75" s="87">
        <v>888490</v>
      </c>
      <c r="K75" s="86">
        <v>1068773.6400000001</v>
      </c>
      <c r="L75" s="86">
        <v>568773.64</v>
      </c>
      <c r="M75" s="86">
        <v>568773.64</v>
      </c>
      <c r="N75" s="259"/>
    </row>
    <row r="76" spans="1:14" ht="21.75" customHeight="1" x14ac:dyDescent="0.25">
      <c r="A76" s="248"/>
      <c r="B76" s="251"/>
      <c r="C76" s="254"/>
      <c r="D76" s="263"/>
      <c r="E76" s="254"/>
      <c r="F76" s="85" t="s">
        <v>16</v>
      </c>
      <c r="G76" s="86">
        <f>H76+I76+J76+K76+M76</f>
        <v>0</v>
      </c>
      <c r="H76" s="86">
        <v>0</v>
      </c>
      <c r="I76" s="86">
        <v>0</v>
      </c>
      <c r="J76" s="87">
        <v>0</v>
      </c>
      <c r="K76" s="86">
        <v>0</v>
      </c>
      <c r="L76" s="86">
        <v>0</v>
      </c>
      <c r="M76" s="86">
        <v>0</v>
      </c>
      <c r="N76" s="259"/>
    </row>
    <row r="77" spans="1:14" ht="21.75" customHeight="1" x14ac:dyDescent="0.25">
      <c r="A77" s="249"/>
      <c r="B77" s="252"/>
      <c r="C77" s="254"/>
      <c r="D77" s="264"/>
      <c r="E77" s="255"/>
      <c r="F77" s="85" t="s">
        <v>17</v>
      </c>
      <c r="G77" s="86">
        <f>H77+I77+J77+K77+M77</f>
        <v>0</v>
      </c>
      <c r="H77" s="86">
        <v>0</v>
      </c>
      <c r="I77" s="86">
        <v>0</v>
      </c>
      <c r="J77" s="87">
        <v>0</v>
      </c>
      <c r="K77" s="86">
        <v>0</v>
      </c>
      <c r="L77" s="86">
        <v>0</v>
      </c>
      <c r="M77" s="86">
        <v>0</v>
      </c>
      <c r="N77" s="259"/>
    </row>
    <row r="78" spans="1:14" ht="21.75" customHeight="1" collapsed="1" x14ac:dyDescent="0.25">
      <c r="A78" s="247" t="s">
        <v>124</v>
      </c>
      <c r="B78" s="250" t="s">
        <v>125</v>
      </c>
      <c r="C78" s="253" t="s">
        <v>11</v>
      </c>
      <c r="D78" s="253" t="s">
        <v>113</v>
      </c>
      <c r="E78" s="253" t="s">
        <v>153</v>
      </c>
      <c r="F78" s="85" t="s">
        <v>14</v>
      </c>
      <c r="G78" s="86">
        <f t="shared" ref="G78:M78" si="22">G79+G80+G81</f>
        <v>245901.6</v>
      </c>
      <c r="H78" s="86">
        <f t="shared" si="22"/>
        <v>0</v>
      </c>
      <c r="I78" s="86">
        <f t="shared" si="22"/>
        <v>0</v>
      </c>
      <c r="J78" s="87">
        <f t="shared" si="22"/>
        <v>149349.60000000003</v>
      </c>
      <c r="K78" s="86">
        <f t="shared" si="22"/>
        <v>48276</v>
      </c>
      <c r="L78" s="86">
        <f t="shared" si="22"/>
        <v>48276</v>
      </c>
      <c r="M78" s="86">
        <f t="shared" si="22"/>
        <v>48276</v>
      </c>
      <c r="N78" s="259"/>
    </row>
    <row r="79" spans="1:14" ht="21.75" customHeight="1" x14ac:dyDescent="0.25">
      <c r="A79" s="248"/>
      <c r="B79" s="251"/>
      <c r="C79" s="254"/>
      <c r="D79" s="254"/>
      <c r="E79" s="254"/>
      <c r="F79" s="85" t="s">
        <v>133</v>
      </c>
      <c r="G79" s="86">
        <f>H79+I79+J79+K79+M79</f>
        <v>149352</v>
      </c>
      <c r="H79" s="86">
        <v>0</v>
      </c>
      <c r="I79" s="86">
        <v>0</v>
      </c>
      <c r="J79" s="87">
        <f>'[4]остатки средств в ФК_3'!$AI$100+'[4]остатки средств в ФК_3'!$AI$98</f>
        <v>52800.000000000015</v>
      </c>
      <c r="K79" s="86">
        <v>48276</v>
      </c>
      <c r="L79" s="86">
        <v>48276</v>
      </c>
      <c r="M79" s="86">
        <v>48276</v>
      </c>
      <c r="N79" s="259"/>
    </row>
    <row r="80" spans="1:14" ht="21.75" customHeight="1" x14ac:dyDescent="0.25">
      <c r="A80" s="248"/>
      <c r="B80" s="251"/>
      <c r="C80" s="254"/>
      <c r="D80" s="254"/>
      <c r="E80" s="254"/>
      <c r="F80" s="85" t="s">
        <v>16</v>
      </c>
      <c r="G80" s="86">
        <f>H80+I80+J80+K80+M80</f>
        <v>96549.6</v>
      </c>
      <c r="H80" s="86">
        <v>0</v>
      </c>
      <c r="I80" s="86">
        <v>0</v>
      </c>
      <c r="J80" s="87">
        <f>'[4]остатки средств в ФК_3'!$AH$100</f>
        <v>96549.6</v>
      </c>
      <c r="K80" s="87"/>
      <c r="L80" s="87"/>
      <c r="M80" s="87"/>
      <c r="N80" s="259"/>
    </row>
    <row r="81" spans="1:15" ht="21.75" customHeight="1" x14ac:dyDescent="0.25">
      <c r="A81" s="249"/>
      <c r="B81" s="252"/>
      <c r="C81" s="255"/>
      <c r="D81" s="255"/>
      <c r="E81" s="255"/>
      <c r="F81" s="85" t="s">
        <v>17</v>
      </c>
      <c r="G81" s="86">
        <f>H81+I81+J81+K81+M81</f>
        <v>0</v>
      </c>
      <c r="H81" s="86">
        <v>0</v>
      </c>
      <c r="I81" s="86">
        <v>0</v>
      </c>
      <c r="J81" s="87">
        <v>0</v>
      </c>
      <c r="K81" s="86">
        <v>0</v>
      </c>
      <c r="L81" s="86">
        <v>0</v>
      </c>
      <c r="M81" s="86">
        <v>0</v>
      </c>
      <c r="N81" s="259"/>
    </row>
    <row r="82" spans="1:15" ht="21.75" customHeight="1" x14ac:dyDescent="0.25">
      <c r="A82" s="247" t="s">
        <v>128</v>
      </c>
      <c r="B82" s="311" t="s">
        <v>22</v>
      </c>
      <c r="C82" s="253" t="s">
        <v>11</v>
      </c>
      <c r="D82" s="268" t="s">
        <v>27</v>
      </c>
      <c r="E82" s="253" t="s">
        <v>153</v>
      </c>
      <c r="F82" s="85" t="s">
        <v>14</v>
      </c>
      <c r="G82" s="86">
        <f t="shared" ref="G82:M82" si="23">G83+G84+G85</f>
        <v>5474764.5199999996</v>
      </c>
      <c r="H82" s="86">
        <f t="shared" si="23"/>
        <v>1006307</v>
      </c>
      <c r="I82" s="86">
        <f t="shared" si="23"/>
        <v>1385373.84</v>
      </c>
      <c r="J82" s="87">
        <f t="shared" si="23"/>
        <v>881623.68</v>
      </c>
      <c r="K82" s="86">
        <f t="shared" si="23"/>
        <v>1100730</v>
      </c>
      <c r="L82" s="86">
        <f>L83+L84+L85</f>
        <v>1100730</v>
      </c>
      <c r="M82" s="86">
        <f t="shared" si="23"/>
        <v>1100730</v>
      </c>
      <c r="N82" s="259"/>
    </row>
    <row r="83" spans="1:15" ht="21.75" customHeight="1" x14ac:dyDescent="0.25">
      <c r="A83" s="248"/>
      <c r="B83" s="312"/>
      <c r="C83" s="254"/>
      <c r="D83" s="269"/>
      <c r="E83" s="254"/>
      <c r="F83" s="85" t="s">
        <v>133</v>
      </c>
      <c r="G83" s="86">
        <f>H83+I83+J83+K83+M83</f>
        <v>5474764.5199999996</v>
      </c>
      <c r="H83" s="86">
        <v>1006307</v>
      </c>
      <c r="I83" s="86">
        <f>1199420.42+157723.37+28230.05</f>
        <v>1385373.84</v>
      </c>
      <c r="J83" s="87">
        <f>965822.81-130616.86+22367.74+24049.99</f>
        <v>881623.68</v>
      </c>
      <c r="K83" s="86">
        <v>1100730</v>
      </c>
      <c r="L83" s="86">
        <v>1100730</v>
      </c>
      <c r="M83" s="86">
        <v>1100730</v>
      </c>
      <c r="N83" s="259"/>
    </row>
    <row r="84" spans="1:15" ht="21.75" customHeight="1" x14ac:dyDescent="0.25">
      <c r="A84" s="248"/>
      <c r="B84" s="312"/>
      <c r="C84" s="254"/>
      <c r="D84" s="269"/>
      <c r="E84" s="254"/>
      <c r="F84" s="85" t="s">
        <v>16</v>
      </c>
      <c r="G84" s="86">
        <f>H84+I84+J84+K84+M84</f>
        <v>0</v>
      </c>
      <c r="H84" s="86">
        <v>0</v>
      </c>
      <c r="I84" s="86">
        <v>0</v>
      </c>
      <c r="J84" s="87">
        <v>0</v>
      </c>
      <c r="K84" s="86">
        <v>0</v>
      </c>
      <c r="L84" s="86">
        <v>0</v>
      </c>
      <c r="M84" s="86">
        <v>0</v>
      </c>
      <c r="N84" s="259"/>
    </row>
    <row r="85" spans="1:15" ht="21.75" customHeight="1" x14ac:dyDescent="0.25">
      <c r="A85" s="249"/>
      <c r="B85" s="313"/>
      <c r="C85" s="254"/>
      <c r="D85" s="270"/>
      <c r="E85" s="255"/>
      <c r="F85" s="85" t="s">
        <v>17</v>
      </c>
      <c r="G85" s="86">
        <f>H85+I85+J85+K85+M85</f>
        <v>0</v>
      </c>
      <c r="H85" s="86">
        <v>0</v>
      </c>
      <c r="I85" s="86">
        <v>0</v>
      </c>
      <c r="J85" s="87">
        <v>0</v>
      </c>
      <c r="K85" s="86">
        <v>0</v>
      </c>
      <c r="L85" s="86">
        <v>0</v>
      </c>
      <c r="M85" s="86">
        <v>0</v>
      </c>
      <c r="N85" s="259"/>
    </row>
    <row r="86" spans="1:15" ht="21.75" customHeight="1" x14ac:dyDescent="0.25">
      <c r="A86" s="247" t="s">
        <v>144</v>
      </c>
      <c r="B86" s="311" t="s">
        <v>23</v>
      </c>
      <c r="C86" s="253" t="s">
        <v>11</v>
      </c>
      <c r="D86" s="268" t="s">
        <v>27</v>
      </c>
      <c r="E86" s="253" t="s">
        <v>153</v>
      </c>
      <c r="F86" s="85" t="s">
        <v>14</v>
      </c>
      <c r="G86" s="86">
        <f t="shared" ref="G86:M86" si="24">G87+G88+G89</f>
        <v>180006463.48999998</v>
      </c>
      <c r="H86" s="86">
        <f t="shared" si="24"/>
        <v>31798849</v>
      </c>
      <c r="I86" s="86">
        <f t="shared" si="24"/>
        <v>36091735.869999997</v>
      </c>
      <c r="J86" s="87">
        <f t="shared" si="24"/>
        <v>39884600.390000001</v>
      </c>
      <c r="K86" s="86">
        <f t="shared" si="24"/>
        <v>31831278.23</v>
      </c>
      <c r="L86" s="86">
        <f>L87+L88+L89</f>
        <v>34750000</v>
      </c>
      <c r="M86" s="86">
        <f t="shared" si="24"/>
        <v>40400000</v>
      </c>
      <c r="N86" s="259"/>
    </row>
    <row r="87" spans="1:15" ht="21.75" customHeight="1" x14ac:dyDescent="0.25">
      <c r="A87" s="248"/>
      <c r="B87" s="312"/>
      <c r="C87" s="254"/>
      <c r="D87" s="269"/>
      <c r="E87" s="254"/>
      <c r="F87" s="85" t="s">
        <v>133</v>
      </c>
      <c r="G87" s="86">
        <f>H87+I87+J87+K87+M87</f>
        <v>388968.69</v>
      </c>
      <c r="H87" s="86">
        <v>100000</v>
      </c>
      <c r="I87" s="86">
        <f>101833.11+23737.45</f>
        <v>125570.56</v>
      </c>
      <c r="J87" s="87">
        <v>99792.13</v>
      </c>
      <c r="K87" s="86">
        <v>63606</v>
      </c>
      <c r="L87" s="86">
        <v>0</v>
      </c>
      <c r="M87" s="86">
        <v>0</v>
      </c>
      <c r="N87" s="259"/>
    </row>
    <row r="88" spans="1:15" ht="21.75" customHeight="1" x14ac:dyDescent="0.25">
      <c r="A88" s="248"/>
      <c r="B88" s="312"/>
      <c r="C88" s="254"/>
      <c r="D88" s="269"/>
      <c r="E88" s="254"/>
      <c r="F88" s="85" t="s">
        <v>16</v>
      </c>
      <c r="G88" s="86">
        <f>H88+I88+J88+K88+M88</f>
        <v>179617494.79999998</v>
      </c>
      <c r="H88" s="86">
        <v>31698849</v>
      </c>
      <c r="I88" s="86">
        <f>35963535.87+2629.44</f>
        <v>35966165.309999995</v>
      </c>
      <c r="J88" s="87">
        <f>'[2]остатки средств в ФК_8'!$R$34+2040.87</f>
        <v>39784808.259999998</v>
      </c>
      <c r="K88" s="86">
        <v>31767672.23</v>
      </c>
      <c r="L88" s="86">
        <v>34750000</v>
      </c>
      <c r="M88" s="86">
        <v>40400000</v>
      </c>
      <c r="N88" s="259"/>
    </row>
    <row r="89" spans="1:15" ht="21.75" customHeight="1" x14ac:dyDescent="0.25">
      <c r="A89" s="249"/>
      <c r="B89" s="313"/>
      <c r="C89" s="254"/>
      <c r="D89" s="270"/>
      <c r="E89" s="255"/>
      <c r="F89" s="85" t="s">
        <v>17</v>
      </c>
      <c r="G89" s="86">
        <f>H89+I89+J89+K89+M89</f>
        <v>0</v>
      </c>
      <c r="H89" s="86">
        <v>0</v>
      </c>
      <c r="I89" s="86">
        <v>0</v>
      </c>
      <c r="J89" s="87">
        <v>0</v>
      </c>
      <c r="K89" s="86">
        <v>0</v>
      </c>
      <c r="L89" s="86">
        <v>0</v>
      </c>
      <c r="M89" s="86">
        <v>0</v>
      </c>
      <c r="N89" s="259"/>
    </row>
    <row r="90" spans="1:15" ht="21.75" hidden="1" customHeight="1" outlineLevel="1" x14ac:dyDescent="0.25">
      <c r="A90" s="247" t="s">
        <v>38</v>
      </c>
      <c r="B90" s="250" t="s">
        <v>39</v>
      </c>
      <c r="C90" s="253" t="s">
        <v>11</v>
      </c>
      <c r="D90" s="268" t="s">
        <v>27</v>
      </c>
      <c r="E90" s="253" t="s">
        <v>153</v>
      </c>
      <c r="F90" s="85" t="s">
        <v>14</v>
      </c>
      <c r="G90" s="86">
        <f t="shared" ref="G90:M90" si="25">G91+G92+G93</f>
        <v>0</v>
      </c>
      <c r="H90" s="86">
        <f t="shared" si="25"/>
        <v>0</v>
      </c>
      <c r="I90" s="86">
        <f t="shared" si="25"/>
        <v>0</v>
      </c>
      <c r="J90" s="87">
        <f t="shared" si="25"/>
        <v>0</v>
      </c>
      <c r="K90" s="86">
        <f t="shared" si="25"/>
        <v>0</v>
      </c>
      <c r="L90" s="86">
        <f>L91+L92+L93</f>
        <v>0</v>
      </c>
      <c r="M90" s="86">
        <f t="shared" si="25"/>
        <v>0</v>
      </c>
      <c r="N90" s="259"/>
    </row>
    <row r="91" spans="1:15" ht="21.75" hidden="1" customHeight="1" outlineLevel="1" x14ac:dyDescent="0.25">
      <c r="A91" s="248"/>
      <c r="B91" s="251"/>
      <c r="C91" s="254"/>
      <c r="D91" s="269"/>
      <c r="E91" s="254"/>
      <c r="F91" s="85" t="s">
        <v>133</v>
      </c>
      <c r="G91" s="86">
        <f>H91+I91+J91+K91+M91</f>
        <v>0</v>
      </c>
      <c r="H91" s="86">
        <v>0</v>
      </c>
      <c r="I91" s="86">
        <v>0</v>
      </c>
      <c r="J91" s="87">
        <v>0</v>
      </c>
      <c r="K91" s="86">
        <v>0</v>
      </c>
      <c r="L91" s="86">
        <v>0</v>
      </c>
      <c r="M91" s="86">
        <v>0</v>
      </c>
      <c r="N91" s="259"/>
    </row>
    <row r="92" spans="1:15" ht="21.75" hidden="1" customHeight="1" outlineLevel="1" x14ac:dyDescent="0.25">
      <c r="A92" s="248"/>
      <c r="B92" s="251"/>
      <c r="C92" s="254"/>
      <c r="D92" s="269"/>
      <c r="E92" s="254"/>
      <c r="F92" s="85" t="s">
        <v>16</v>
      </c>
      <c r="G92" s="86">
        <f>H92+I92+J92+K92+M92</f>
        <v>0</v>
      </c>
      <c r="H92" s="86">
        <v>0</v>
      </c>
      <c r="I92" s="86">
        <v>0</v>
      </c>
      <c r="J92" s="87">
        <v>0</v>
      </c>
      <c r="K92" s="86">
        <v>0</v>
      </c>
      <c r="L92" s="86">
        <v>0</v>
      </c>
      <c r="M92" s="86">
        <v>0</v>
      </c>
      <c r="N92" s="259"/>
    </row>
    <row r="93" spans="1:15" ht="21.75" hidden="1" customHeight="1" outlineLevel="1" x14ac:dyDescent="0.25">
      <c r="A93" s="249"/>
      <c r="B93" s="252"/>
      <c r="C93" s="254"/>
      <c r="D93" s="270"/>
      <c r="E93" s="255"/>
      <c r="F93" s="85" t="s">
        <v>17</v>
      </c>
      <c r="G93" s="86">
        <f>H93+I93+J93+K93+M93</f>
        <v>0</v>
      </c>
      <c r="H93" s="86">
        <v>0</v>
      </c>
      <c r="I93" s="86">
        <v>0</v>
      </c>
      <c r="J93" s="87">
        <v>0</v>
      </c>
      <c r="K93" s="86">
        <v>0</v>
      </c>
      <c r="L93" s="86">
        <v>0</v>
      </c>
      <c r="M93" s="86">
        <v>0</v>
      </c>
      <c r="N93" s="259"/>
    </row>
    <row r="94" spans="1:15" ht="21.75" hidden="1" customHeight="1" outlineLevel="1" x14ac:dyDescent="0.25">
      <c r="A94" s="247" t="s">
        <v>46</v>
      </c>
      <c r="B94" s="250" t="s">
        <v>47</v>
      </c>
      <c r="C94" s="253" t="s">
        <v>11</v>
      </c>
      <c r="D94" s="268" t="s">
        <v>27</v>
      </c>
      <c r="E94" s="253" t="s">
        <v>153</v>
      </c>
      <c r="F94" s="85" t="s">
        <v>14</v>
      </c>
      <c r="G94" s="86">
        <f t="shared" ref="G94:M94" si="26">G95+G96+G97</f>
        <v>0</v>
      </c>
      <c r="H94" s="86">
        <f t="shared" si="26"/>
        <v>0</v>
      </c>
      <c r="I94" s="86">
        <f t="shared" si="26"/>
        <v>0</v>
      </c>
      <c r="J94" s="86">
        <f t="shared" si="26"/>
        <v>0</v>
      </c>
      <c r="K94" s="86">
        <f t="shared" si="26"/>
        <v>0</v>
      </c>
      <c r="L94" s="86">
        <f>L95+L96+L97</f>
        <v>0</v>
      </c>
      <c r="M94" s="86">
        <f t="shared" si="26"/>
        <v>0</v>
      </c>
      <c r="N94" s="259"/>
    </row>
    <row r="95" spans="1:15" ht="21.75" hidden="1" customHeight="1" outlineLevel="1" x14ac:dyDescent="0.25">
      <c r="A95" s="248"/>
      <c r="B95" s="251"/>
      <c r="C95" s="254"/>
      <c r="D95" s="269"/>
      <c r="E95" s="254"/>
      <c r="F95" s="85" t="s">
        <v>133</v>
      </c>
      <c r="G95" s="86">
        <f>H95+I95+J95+K95+M95</f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259"/>
    </row>
    <row r="96" spans="1:15" ht="21.75" hidden="1" customHeight="1" outlineLevel="1" x14ac:dyDescent="0.25">
      <c r="A96" s="248"/>
      <c r="B96" s="251"/>
      <c r="C96" s="254"/>
      <c r="D96" s="269"/>
      <c r="E96" s="254"/>
      <c r="F96" s="85" t="s">
        <v>16</v>
      </c>
      <c r="G96" s="86">
        <f>H96+I96+J96+K96+M96</f>
        <v>0</v>
      </c>
      <c r="H96" s="86"/>
      <c r="I96" s="86"/>
      <c r="J96" s="86"/>
      <c r="K96" s="86"/>
      <c r="L96" s="86"/>
      <c r="M96" s="86"/>
      <c r="N96" s="259"/>
      <c r="O96" s="92"/>
    </row>
    <row r="97" spans="1:16" ht="21.75" hidden="1" customHeight="1" outlineLevel="1" x14ac:dyDescent="0.25">
      <c r="A97" s="249"/>
      <c r="B97" s="252"/>
      <c r="C97" s="254"/>
      <c r="D97" s="270"/>
      <c r="E97" s="255"/>
      <c r="F97" s="85" t="s">
        <v>17</v>
      </c>
      <c r="G97" s="86">
        <f>H97+I97+J97+K97+M97</f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284"/>
    </row>
    <row r="98" spans="1:16" ht="21.75" customHeight="1" collapsed="1" x14ac:dyDescent="0.25">
      <c r="A98" s="299"/>
      <c r="B98" s="302" t="s">
        <v>49</v>
      </c>
      <c r="C98" s="305" t="s">
        <v>11</v>
      </c>
      <c r="D98" s="308" t="s">
        <v>50</v>
      </c>
      <c r="E98" s="305" t="s">
        <v>153</v>
      </c>
      <c r="F98" s="82" t="s">
        <v>14</v>
      </c>
      <c r="G98" s="83">
        <f t="shared" ref="G98:M98" si="27">G99+G100+G101</f>
        <v>508896029.38</v>
      </c>
      <c r="H98" s="83">
        <f>H99+H100+H101</f>
        <v>84734080.780000001</v>
      </c>
      <c r="I98" s="83">
        <f>I99+I100+I101</f>
        <v>96308847.780000001</v>
      </c>
      <c r="J98" s="83">
        <f>J99+J100+J101</f>
        <v>101161763.69</v>
      </c>
      <c r="K98" s="83">
        <f t="shared" si="27"/>
        <v>111369849.59</v>
      </c>
      <c r="L98" s="83">
        <f>L99+L100+L101</f>
        <v>112959582.03</v>
      </c>
      <c r="M98" s="83">
        <f t="shared" si="27"/>
        <v>115321487.53999999</v>
      </c>
      <c r="N98" s="236" t="s">
        <v>51</v>
      </c>
    </row>
    <row r="99" spans="1:16" ht="21.75" customHeight="1" x14ac:dyDescent="0.25">
      <c r="A99" s="300"/>
      <c r="B99" s="303"/>
      <c r="C99" s="306"/>
      <c r="D99" s="309"/>
      <c r="E99" s="306"/>
      <c r="F99" s="82" t="s">
        <v>133</v>
      </c>
      <c r="G99" s="83">
        <f>H99+I99+J99+K99+M99</f>
        <v>107049906.11</v>
      </c>
      <c r="H99" s="83">
        <f t="shared" ref="H99:M101" si="28">H103+H119+H107+H111+H115+H123</f>
        <v>18875528.780000001</v>
      </c>
      <c r="I99" s="83">
        <f t="shared" si="28"/>
        <v>18939692.490000002</v>
      </c>
      <c r="J99" s="83">
        <f t="shared" si="28"/>
        <v>20821117.829999998</v>
      </c>
      <c r="K99" s="83">
        <f t="shared" si="28"/>
        <v>24995167.82</v>
      </c>
      <c r="L99" s="83">
        <f t="shared" si="28"/>
        <v>23519028.940000001</v>
      </c>
      <c r="M99" s="83">
        <f t="shared" si="28"/>
        <v>23418399.190000001</v>
      </c>
      <c r="N99" s="237"/>
    </row>
    <row r="100" spans="1:16" ht="21.75" customHeight="1" x14ac:dyDescent="0.25">
      <c r="A100" s="300"/>
      <c r="B100" s="303"/>
      <c r="C100" s="306"/>
      <c r="D100" s="309"/>
      <c r="E100" s="306"/>
      <c r="F100" s="82" t="s">
        <v>16</v>
      </c>
      <c r="G100" s="83">
        <f>H100+I100+J100+K100+M100</f>
        <v>401846123.26999998</v>
      </c>
      <c r="H100" s="83">
        <f t="shared" si="28"/>
        <v>65858552</v>
      </c>
      <c r="I100" s="83">
        <f t="shared" si="28"/>
        <v>77369155.290000007</v>
      </c>
      <c r="J100" s="83">
        <f t="shared" si="28"/>
        <v>80340645.859999999</v>
      </c>
      <c r="K100" s="83">
        <f t="shared" si="28"/>
        <v>86374681.769999996</v>
      </c>
      <c r="L100" s="83">
        <f t="shared" si="28"/>
        <v>89440553.090000004</v>
      </c>
      <c r="M100" s="83">
        <f t="shared" si="28"/>
        <v>91903088.349999994</v>
      </c>
      <c r="N100" s="237"/>
    </row>
    <row r="101" spans="1:16" ht="21.75" customHeight="1" x14ac:dyDescent="0.25">
      <c r="A101" s="301"/>
      <c r="B101" s="304"/>
      <c r="C101" s="307"/>
      <c r="D101" s="310"/>
      <c r="E101" s="307"/>
      <c r="F101" s="82" t="s">
        <v>17</v>
      </c>
      <c r="G101" s="83">
        <f>H101+I101+J101+K101+M101</f>
        <v>0</v>
      </c>
      <c r="H101" s="83">
        <f t="shared" si="28"/>
        <v>0</v>
      </c>
      <c r="I101" s="83">
        <f t="shared" si="28"/>
        <v>0</v>
      </c>
      <c r="J101" s="83">
        <f t="shared" si="28"/>
        <v>0</v>
      </c>
      <c r="K101" s="83">
        <f t="shared" si="28"/>
        <v>0</v>
      </c>
      <c r="L101" s="83">
        <f t="shared" si="28"/>
        <v>0</v>
      </c>
      <c r="M101" s="83">
        <f t="shared" si="28"/>
        <v>0</v>
      </c>
      <c r="N101" s="237"/>
    </row>
    <row r="102" spans="1:16" ht="21.75" customHeight="1" x14ac:dyDescent="0.25">
      <c r="A102" s="247" t="s">
        <v>18</v>
      </c>
      <c r="B102" s="250" t="s">
        <v>52</v>
      </c>
      <c r="C102" s="253" t="s">
        <v>11</v>
      </c>
      <c r="D102" s="268" t="s">
        <v>42</v>
      </c>
      <c r="E102" s="253" t="s">
        <v>153</v>
      </c>
      <c r="F102" s="85" t="s">
        <v>14</v>
      </c>
      <c r="G102" s="86">
        <f t="shared" ref="G102:M102" si="29">G103+G104+G105</f>
        <v>425179351.14458436</v>
      </c>
      <c r="H102" s="86">
        <f t="shared" si="29"/>
        <v>75848880.460000008</v>
      </c>
      <c r="I102" s="86">
        <f t="shared" si="29"/>
        <v>78759959.739999995</v>
      </c>
      <c r="J102" s="87">
        <f t="shared" si="29"/>
        <v>81872994.930000007</v>
      </c>
      <c r="K102" s="86">
        <f t="shared" si="29"/>
        <v>92851833.820000008</v>
      </c>
      <c r="L102" s="86">
        <f>L103+L104+L105</f>
        <v>94216299.94458437</v>
      </c>
      <c r="M102" s="86">
        <f t="shared" si="29"/>
        <v>95845682.19458437</v>
      </c>
      <c r="N102" s="237"/>
    </row>
    <row r="103" spans="1:16" ht="21.75" customHeight="1" x14ac:dyDescent="0.25">
      <c r="A103" s="248"/>
      <c r="B103" s="251"/>
      <c r="C103" s="254"/>
      <c r="D103" s="269"/>
      <c r="E103" s="254"/>
      <c r="F103" s="85" t="s">
        <v>133</v>
      </c>
      <c r="G103" s="86">
        <f>H103+I103+J103+K103+M103</f>
        <v>92434758.050000012</v>
      </c>
      <c r="H103" s="86">
        <v>17880557.460000001</v>
      </c>
      <c r="I103" s="86">
        <f>15484283.05-117000+1049417.39</f>
        <v>16416700.440000001</v>
      </c>
      <c r="J103" s="87">
        <f>17127247+366899</f>
        <v>17494146</v>
      </c>
      <c r="K103" s="86">
        <v>21113787.390000001</v>
      </c>
      <c r="L103" s="86">
        <v>19634116.510000002</v>
      </c>
      <c r="M103" s="86">
        <v>19529566.760000002</v>
      </c>
      <c r="N103" s="237"/>
      <c r="O103" s="93"/>
      <c r="P103" s="89"/>
    </row>
    <row r="104" spans="1:16" ht="21.75" customHeight="1" x14ac:dyDescent="0.25">
      <c r="A104" s="248"/>
      <c r="B104" s="251"/>
      <c r="C104" s="254"/>
      <c r="D104" s="269"/>
      <c r="E104" s="254"/>
      <c r="F104" s="85" t="s">
        <v>16</v>
      </c>
      <c r="G104" s="86">
        <f>H104+I104+J104+K104+M104</f>
        <v>332744593.09458435</v>
      </c>
      <c r="H104" s="86">
        <f>57968323</f>
        <v>57968323</v>
      </c>
      <c r="I104" s="86">
        <f>62343259.3</f>
        <v>62343259.299999997</v>
      </c>
      <c r="J104" s="87">
        <f>64378848.93</f>
        <v>64378848.93</v>
      </c>
      <c r="K104" s="86">
        <v>71738046.430000007</v>
      </c>
      <c r="L104" s="86">
        <v>74582183.434584364</v>
      </c>
      <c r="M104" s="86">
        <v>76316115.434584364</v>
      </c>
      <c r="N104" s="237"/>
    </row>
    <row r="105" spans="1:16" ht="21.75" customHeight="1" x14ac:dyDescent="0.25">
      <c r="A105" s="249"/>
      <c r="B105" s="252"/>
      <c r="C105" s="254"/>
      <c r="D105" s="270"/>
      <c r="E105" s="255"/>
      <c r="F105" s="85" t="s">
        <v>17</v>
      </c>
      <c r="G105" s="86">
        <f>H105+I105+J105+K105+M105</f>
        <v>0</v>
      </c>
      <c r="H105" s="86">
        <v>0</v>
      </c>
      <c r="I105" s="86">
        <v>0</v>
      </c>
      <c r="J105" s="87">
        <v>0</v>
      </c>
      <c r="K105" s="86">
        <v>0</v>
      </c>
      <c r="L105" s="86">
        <v>0</v>
      </c>
      <c r="M105" s="86">
        <v>0</v>
      </c>
      <c r="N105" s="237"/>
    </row>
    <row r="106" spans="1:16" ht="21.75" customHeight="1" outlineLevel="1" x14ac:dyDescent="0.25">
      <c r="A106" s="247" t="s">
        <v>25</v>
      </c>
      <c r="B106" s="250" t="s">
        <v>109</v>
      </c>
      <c r="C106" s="253" t="s">
        <v>11</v>
      </c>
      <c r="D106" s="268" t="s">
        <v>42</v>
      </c>
      <c r="E106" s="253" t="s">
        <v>153</v>
      </c>
      <c r="F106" s="85" t="s">
        <v>14</v>
      </c>
      <c r="G106" s="86">
        <f t="shared" ref="G106:M106" si="30">G107+G108+G109</f>
        <v>0</v>
      </c>
      <c r="H106" s="86">
        <f t="shared" si="30"/>
        <v>0</v>
      </c>
      <c r="I106" s="86">
        <f t="shared" si="30"/>
        <v>0</v>
      </c>
      <c r="J106" s="86">
        <f t="shared" si="30"/>
        <v>0</v>
      </c>
      <c r="K106" s="86">
        <f t="shared" si="30"/>
        <v>0</v>
      </c>
      <c r="L106" s="86">
        <f t="shared" si="30"/>
        <v>0</v>
      </c>
      <c r="M106" s="86">
        <f t="shared" si="30"/>
        <v>0</v>
      </c>
      <c r="N106" s="237"/>
    </row>
    <row r="107" spans="1:16" ht="21.75" customHeight="1" outlineLevel="1" x14ac:dyDescent="0.25">
      <c r="A107" s="248"/>
      <c r="B107" s="251"/>
      <c r="C107" s="254"/>
      <c r="D107" s="269"/>
      <c r="E107" s="254"/>
      <c r="F107" s="85" t="s">
        <v>15</v>
      </c>
      <c r="G107" s="86">
        <f>H107+I107+J107+K107+M107</f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0</v>
      </c>
      <c r="N107" s="237"/>
    </row>
    <row r="108" spans="1:16" ht="21.75" customHeight="1" outlineLevel="1" x14ac:dyDescent="0.25">
      <c r="A108" s="248"/>
      <c r="B108" s="251"/>
      <c r="C108" s="254"/>
      <c r="D108" s="269"/>
      <c r="E108" s="254"/>
      <c r="F108" s="85" t="s">
        <v>16</v>
      </c>
      <c r="G108" s="86">
        <f>H108+I108+J108+K108+M108</f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237"/>
    </row>
    <row r="109" spans="1:16" ht="21.75" customHeight="1" outlineLevel="1" x14ac:dyDescent="0.25">
      <c r="A109" s="249"/>
      <c r="B109" s="252"/>
      <c r="C109" s="254"/>
      <c r="D109" s="270"/>
      <c r="E109" s="255"/>
      <c r="F109" s="85" t="s">
        <v>17</v>
      </c>
      <c r="G109" s="86">
        <f>H109+I109+J109+K109+M109</f>
        <v>0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237"/>
    </row>
    <row r="110" spans="1:16" ht="21.75" customHeight="1" outlineLevel="1" x14ac:dyDescent="0.25">
      <c r="A110" s="247" t="s">
        <v>44</v>
      </c>
      <c r="B110" s="250" t="s">
        <v>110</v>
      </c>
      <c r="C110" s="253" t="s">
        <v>11</v>
      </c>
      <c r="D110" s="268" t="s">
        <v>42</v>
      </c>
      <c r="E110" s="253" t="s">
        <v>153</v>
      </c>
      <c r="F110" s="85" t="s">
        <v>14</v>
      </c>
      <c r="G110" s="86">
        <f t="shared" ref="G110:M110" si="31">G111+G112+G113</f>
        <v>0</v>
      </c>
      <c r="H110" s="86">
        <f t="shared" si="31"/>
        <v>0</v>
      </c>
      <c r="I110" s="86">
        <f t="shared" si="31"/>
        <v>0</v>
      </c>
      <c r="J110" s="86">
        <f t="shared" si="31"/>
        <v>0</v>
      </c>
      <c r="K110" s="86">
        <f t="shared" si="31"/>
        <v>0</v>
      </c>
      <c r="L110" s="86">
        <f t="shared" si="31"/>
        <v>0</v>
      </c>
      <c r="M110" s="86">
        <f t="shared" si="31"/>
        <v>0</v>
      </c>
      <c r="N110" s="237"/>
    </row>
    <row r="111" spans="1:16" ht="21.75" customHeight="1" outlineLevel="1" x14ac:dyDescent="0.25">
      <c r="A111" s="248"/>
      <c r="B111" s="251"/>
      <c r="C111" s="254"/>
      <c r="D111" s="269"/>
      <c r="E111" s="254"/>
      <c r="F111" s="85" t="s">
        <v>15</v>
      </c>
      <c r="G111" s="94">
        <f>H111+I111+J111+K111+M111</f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237"/>
    </row>
    <row r="112" spans="1:16" ht="21.75" customHeight="1" outlineLevel="1" x14ac:dyDescent="0.25">
      <c r="A112" s="248"/>
      <c r="B112" s="251"/>
      <c r="C112" s="254"/>
      <c r="D112" s="269"/>
      <c r="E112" s="254"/>
      <c r="F112" s="85" t="s">
        <v>16</v>
      </c>
      <c r="G112" s="94">
        <f>H112+I112+J112+K112+M112</f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237"/>
    </row>
    <row r="113" spans="1:14" ht="21.75" customHeight="1" outlineLevel="1" x14ac:dyDescent="0.25">
      <c r="A113" s="249"/>
      <c r="B113" s="252"/>
      <c r="C113" s="254"/>
      <c r="D113" s="270"/>
      <c r="E113" s="255"/>
      <c r="F113" s="85" t="s">
        <v>17</v>
      </c>
      <c r="G113" s="94">
        <f>H113+I113+J113+K113+M113</f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  <c r="N113" s="237"/>
    </row>
    <row r="114" spans="1:14" ht="21.75" customHeight="1" x14ac:dyDescent="0.25">
      <c r="A114" s="247" t="s">
        <v>112</v>
      </c>
      <c r="B114" s="311" t="s">
        <v>156</v>
      </c>
      <c r="C114" s="253" t="s">
        <v>11</v>
      </c>
      <c r="D114" s="268" t="s">
        <v>55</v>
      </c>
      <c r="E114" s="253" t="s">
        <v>153</v>
      </c>
      <c r="F114" s="85" t="s">
        <v>14</v>
      </c>
      <c r="G114" s="86">
        <f t="shared" ref="G114:M114" si="32">G115+G116+G117</f>
        <v>62842050.93541564</v>
      </c>
      <c r="H114" s="86">
        <f t="shared" si="32"/>
        <v>4920882.5</v>
      </c>
      <c r="I114" s="86">
        <f t="shared" si="32"/>
        <v>13636058.439999999</v>
      </c>
      <c r="J114" s="87">
        <f t="shared" si="32"/>
        <v>14165280</v>
      </c>
      <c r="K114" s="86">
        <f t="shared" si="32"/>
        <v>14957350</v>
      </c>
      <c r="L114" s="86">
        <f t="shared" si="32"/>
        <v>15054579.995415632</v>
      </c>
      <c r="M114" s="86">
        <f t="shared" si="32"/>
        <v>15162479.995415632</v>
      </c>
      <c r="N114" s="237"/>
    </row>
    <row r="115" spans="1:14" ht="21.75" customHeight="1" x14ac:dyDescent="0.25">
      <c r="A115" s="248"/>
      <c r="B115" s="312"/>
      <c r="C115" s="254"/>
      <c r="D115" s="269"/>
      <c r="E115" s="254"/>
      <c r="F115" s="85" t="s">
        <v>15</v>
      </c>
      <c r="G115" s="86">
        <f>H115+I115+J115+K115+M115</f>
        <v>14266347.029999999</v>
      </c>
      <c r="H115" s="86">
        <f>845990.48+96482.96-233.44+4193.5</f>
        <v>946433.5</v>
      </c>
      <c r="I115" s="86">
        <f>2724868.3-76260.5*3-76260.06</f>
        <v>2419826.7399999998</v>
      </c>
      <c r="J115" s="87">
        <v>3245713.93</v>
      </c>
      <c r="K115" s="86">
        <v>3823460.43</v>
      </c>
      <c r="L115" s="86">
        <v>3826992.43</v>
      </c>
      <c r="M115" s="86">
        <v>3830912.43</v>
      </c>
      <c r="N115" s="237"/>
    </row>
    <row r="116" spans="1:14" ht="21.75" customHeight="1" x14ac:dyDescent="0.25">
      <c r="A116" s="248"/>
      <c r="B116" s="312"/>
      <c r="C116" s="254"/>
      <c r="D116" s="269"/>
      <c r="E116" s="254"/>
      <c r="F116" s="85" t="s">
        <v>16</v>
      </c>
      <c r="G116" s="86">
        <f>H116+I116+J116+K116+M116</f>
        <v>48575703.905415639</v>
      </c>
      <c r="H116" s="86">
        <f>3768960+205489</f>
        <v>3974449</v>
      </c>
      <c r="I116" s="86">
        <v>11216231.699999999</v>
      </c>
      <c r="J116" s="87">
        <v>10919566.07</v>
      </c>
      <c r="K116" s="86">
        <v>11133889.57</v>
      </c>
      <c r="L116" s="86">
        <v>11227587.565415632</v>
      </c>
      <c r="M116" s="86">
        <v>11331567.565415632</v>
      </c>
      <c r="N116" s="237"/>
    </row>
    <row r="117" spans="1:14" ht="21.75" customHeight="1" x14ac:dyDescent="0.25">
      <c r="A117" s="249"/>
      <c r="B117" s="313"/>
      <c r="C117" s="254"/>
      <c r="D117" s="270"/>
      <c r="E117" s="255"/>
      <c r="F117" s="85" t="s">
        <v>17</v>
      </c>
      <c r="G117" s="86">
        <f>H117+I117+J117+K117+M117</f>
        <v>0</v>
      </c>
      <c r="H117" s="86">
        <v>0</v>
      </c>
      <c r="I117" s="86">
        <v>0</v>
      </c>
      <c r="J117" s="87">
        <v>0</v>
      </c>
      <c r="K117" s="86">
        <v>0</v>
      </c>
      <c r="L117" s="86">
        <v>0</v>
      </c>
      <c r="M117" s="86">
        <v>0</v>
      </c>
      <c r="N117" s="237"/>
    </row>
    <row r="118" spans="1:14" ht="21.75" customHeight="1" x14ac:dyDescent="0.25">
      <c r="A118" s="247" t="s">
        <v>128</v>
      </c>
      <c r="B118" s="311" t="s">
        <v>22</v>
      </c>
      <c r="C118" s="253" t="s">
        <v>11</v>
      </c>
      <c r="D118" s="268" t="s">
        <v>42</v>
      </c>
      <c r="E118" s="253" t="s">
        <v>153</v>
      </c>
      <c r="F118" s="85" t="s">
        <v>14</v>
      </c>
      <c r="G118" s="86">
        <f t="shared" ref="G118:M118" si="33">G119+G120+G121</f>
        <v>348801.03</v>
      </c>
      <c r="H118" s="86">
        <f t="shared" si="33"/>
        <v>48537.82</v>
      </c>
      <c r="I118" s="86">
        <f t="shared" si="33"/>
        <v>103165.31</v>
      </c>
      <c r="J118" s="87">
        <f t="shared" si="33"/>
        <v>81257.899999999994</v>
      </c>
      <c r="K118" s="86">
        <f t="shared" si="33"/>
        <v>57920</v>
      </c>
      <c r="L118" s="86">
        <f>L119+L120+L121</f>
        <v>57920</v>
      </c>
      <c r="M118" s="86">
        <f t="shared" si="33"/>
        <v>57920</v>
      </c>
      <c r="N118" s="237"/>
    </row>
    <row r="119" spans="1:14" ht="21.75" customHeight="1" x14ac:dyDescent="0.25">
      <c r="A119" s="248"/>
      <c r="B119" s="312"/>
      <c r="C119" s="254"/>
      <c r="D119" s="269"/>
      <c r="E119" s="254"/>
      <c r="F119" s="85" t="s">
        <v>133</v>
      </c>
      <c r="G119" s="86">
        <f>H119+I119+J119+K119+M119</f>
        <v>348801.03</v>
      </c>
      <c r="H119" s="86">
        <f>48538-0.18</f>
        <v>48537.82</v>
      </c>
      <c r="I119" s="86">
        <f>94165.31+9000</f>
        <v>103165.31</v>
      </c>
      <c r="J119" s="87">
        <v>81257.899999999994</v>
      </c>
      <c r="K119" s="86">
        <v>57920</v>
      </c>
      <c r="L119" s="86">
        <v>57920</v>
      </c>
      <c r="M119" s="86">
        <v>57920</v>
      </c>
      <c r="N119" s="237"/>
    </row>
    <row r="120" spans="1:14" ht="21.75" customHeight="1" x14ac:dyDescent="0.25">
      <c r="A120" s="248"/>
      <c r="B120" s="312"/>
      <c r="C120" s="254"/>
      <c r="D120" s="269"/>
      <c r="E120" s="254"/>
      <c r="F120" s="85" t="s">
        <v>16</v>
      </c>
      <c r="G120" s="86">
        <f>H120+I120+J120+K120+M120</f>
        <v>0</v>
      </c>
      <c r="H120" s="86">
        <v>0</v>
      </c>
      <c r="I120" s="86">
        <v>0</v>
      </c>
      <c r="J120" s="87">
        <v>0</v>
      </c>
      <c r="K120" s="86">
        <v>0</v>
      </c>
      <c r="L120" s="86">
        <v>0</v>
      </c>
      <c r="M120" s="86">
        <v>0</v>
      </c>
      <c r="N120" s="237"/>
    </row>
    <row r="121" spans="1:14" ht="21.75" customHeight="1" x14ac:dyDescent="0.25">
      <c r="A121" s="249"/>
      <c r="B121" s="313"/>
      <c r="C121" s="254"/>
      <c r="D121" s="270"/>
      <c r="E121" s="255"/>
      <c r="F121" s="85" t="s">
        <v>17</v>
      </c>
      <c r="G121" s="86">
        <f>H121+I121+J121+K121+M121</f>
        <v>0</v>
      </c>
      <c r="H121" s="86">
        <v>0</v>
      </c>
      <c r="I121" s="86">
        <v>0</v>
      </c>
      <c r="J121" s="87">
        <v>0</v>
      </c>
      <c r="K121" s="86">
        <v>0</v>
      </c>
      <c r="L121" s="86">
        <v>0</v>
      </c>
      <c r="M121" s="86">
        <v>0</v>
      </c>
      <c r="N121" s="237"/>
    </row>
    <row r="122" spans="1:14" ht="21.75" customHeight="1" x14ac:dyDescent="0.25">
      <c r="A122" s="247" t="s">
        <v>144</v>
      </c>
      <c r="B122" s="311" t="s">
        <v>23</v>
      </c>
      <c r="C122" s="253" t="s">
        <v>11</v>
      </c>
      <c r="D122" s="268" t="s">
        <v>147</v>
      </c>
      <c r="E122" s="253" t="s">
        <v>153</v>
      </c>
      <c r="F122" s="85" t="s">
        <v>14</v>
      </c>
      <c r="G122" s="86">
        <f t="shared" ref="G122:M122" si="34">G123+G124+G125</f>
        <v>20525826.269999996</v>
      </c>
      <c r="H122" s="86">
        <f t="shared" si="34"/>
        <v>3915780</v>
      </c>
      <c r="I122" s="86">
        <f t="shared" si="34"/>
        <v>3809664.29</v>
      </c>
      <c r="J122" s="87">
        <f t="shared" si="34"/>
        <v>5042230.8599999994</v>
      </c>
      <c r="K122" s="86">
        <f t="shared" si="34"/>
        <v>3502745.77</v>
      </c>
      <c r="L122" s="86">
        <f>L123+L124+L125</f>
        <v>3630782.09</v>
      </c>
      <c r="M122" s="86">
        <f t="shared" si="34"/>
        <v>4255405.3499999996</v>
      </c>
      <c r="N122" s="237"/>
    </row>
    <row r="123" spans="1:14" ht="21.75" customHeight="1" x14ac:dyDescent="0.25">
      <c r="A123" s="248"/>
      <c r="B123" s="312"/>
      <c r="C123" s="254"/>
      <c r="D123" s="269"/>
      <c r="E123" s="254"/>
      <c r="F123" s="85" t="s">
        <v>133</v>
      </c>
      <c r="G123" s="86">
        <f>H123+I123+J123+K123+M123</f>
        <v>0</v>
      </c>
      <c r="H123" s="86">
        <v>0</v>
      </c>
      <c r="I123" s="86">
        <v>0</v>
      </c>
      <c r="J123" s="87">
        <v>0</v>
      </c>
      <c r="K123" s="86">
        <v>0</v>
      </c>
      <c r="L123" s="86">
        <v>0</v>
      </c>
      <c r="M123" s="86">
        <v>0</v>
      </c>
      <c r="N123" s="237"/>
    </row>
    <row r="124" spans="1:14" ht="21.75" customHeight="1" x14ac:dyDescent="0.25">
      <c r="A124" s="248"/>
      <c r="B124" s="312"/>
      <c r="C124" s="254"/>
      <c r="D124" s="269"/>
      <c r="E124" s="254"/>
      <c r="F124" s="85" t="s">
        <v>16</v>
      </c>
      <c r="G124" s="86">
        <f>H124+I124+J124+K124+M124</f>
        <v>20525826.269999996</v>
      </c>
      <c r="H124" s="86">
        <f>1513280+2402500</f>
        <v>3915780</v>
      </c>
      <c r="I124" s="86">
        <f>1178210+2631454.29</f>
        <v>3809664.29</v>
      </c>
      <c r="J124" s="87">
        <f>'[2]остатки средств в ФК_8'!$R$74+'[2]остатки средств в ФК_8'!$R$16</f>
        <v>5042230.8599999994</v>
      </c>
      <c r="K124" s="86">
        <v>3502745.77</v>
      </c>
      <c r="L124" s="86">
        <v>3630782.09</v>
      </c>
      <c r="M124" s="86">
        <v>4255405.3499999996</v>
      </c>
      <c r="N124" s="237"/>
    </row>
    <row r="125" spans="1:14" ht="21.75" customHeight="1" x14ac:dyDescent="0.25">
      <c r="A125" s="249"/>
      <c r="B125" s="313"/>
      <c r="C125" s="254"/>
      <c r="D125" s="270"/>
      <c r="E125" s="255"/>
      <c r="F125" s="85" t="s">
        <v>17</v>
      </c>
      <c r="G125" s="86">
        <f>H125+I125+J125+K125+M125</f>
        <v>0</v>
      </c>
      <c r="H125" s="86">
        <v>0</v>
      </c>
      <c r="I125" s="86">
        <v>0</v>
      </c>
      <c r="J125" s="87">
        <v>0</v>
      </c>
      <c r="K125" s="86">
        <v>0</v>
      </c>
      <c r="L125" s="86">
        <v>0</v>
      </c>
      <c r="M125" s="86">
        <v>0</v>
      </c>
      <c r="N125" s="237"/>
    </row>
    <row r="126" spans="1:14" ht="21.75" customHeight="1" x14ac:dyDescent="0.25">
      <c r="A126" s="299"/>
      <c r="B126" s="302" t="s">
        <v>57</v>
      </c>
      <c r="C126" s="305" t="s">
        <v>11</v>
      </c>
      <c r="D126" s="308" t="s">
        <v>55</v>
      </c>
      <c r="E126" s="305" t="s">
        <v>153</v>
      </c>
      <c r="F126" s="82" t="s">
        <v>14</v>
      </c>
      <c r="G126" s="83">
        <f t="shared" ref="G126:M126" si="35">G127+G128+G129</f>
        <v>106602214.7</v>
      </c>
      <c r="H126" s="83">
        <f>H127+H128+H129</f>
        <v>11501858.800000001</v>
      </c>
      <c r="I126" s="83">
        <f>I127+I128+I129</f>
        <v>20053625.789999999</v>
      </c>
      <c r="J126" s="83">
        <f>J127+J128+J129</f>
        <v>23607892.009999998</v>
      </c>
      <c r="K126" s="83">
        <f t="shared" si="35"/>
        <v>27963673.77</v>
      </c>
      <c r="L126" s="83">
        <f>L127+L128+L129</f>
        <v>24153926.329999998</v>
      </c>
      <c r="M126" s="83">
        <f t="shared" si="35"/>
        <v>23475164.329999998</v>
      </c>
      <c r="N126" s="258"/>
    </row>
    <row r="127" spans="1:14" ht="21.75" customHeight="1" x14ac:dyDescent="0.25">
      <c r="A127" s="300"/>
      <c r="B127" s="303"/>
      <c r="C127" s="306"/>
      <c r="D127" s="309"/>
      <c r="E127" s="306"/>
      <c r="F127" s="82" t="s">
        <v>133</v>
      </c>
      <c r="G127" s="83">
        <f>H127+I127+J127+K127+M127</f>
        <v>20818843.09</v>
      </c>
      <c r="H127" s="83">
        <f t="shared" ref="H127:I129" si="36">+H131+H135+H139+H143+H147+H151</f>
        <v>1291281.29</v>
      </c>
      <c r="I127" s="83">
        <f t="shared" si="36"/>
        <v>2153726.31</v>
      </c>
      <c r="J127" s="83">
        <f>+J131+J135+J139+J143+J147+J151+J155</f>
        <v>5780842.8499999996</v>
      </c>
      <c r="K127" s="83">
        <f>+K131+K135+K139+K143+K147+K151+K155</f>
        <v>7104224.1900000004</v>
      </c>
      <c r="L127" s="83">
        <f>+L131+L135+L139+L143+L147+L151+L155</f>
        <v>4489443.82</v>
      </c>
      <c r="M127" s="83">
        <f>+M131+M135+M139+M143+M147+M151+M155</f>
        <v>4488768.45</v>
      </c>
      <c r="N127" s="259"/>
    </row>
    <row r="128" spans="1:14" ht="21.75" customHeight="1" x14ac:dyDescent="0.25">
      <c r="A128" s="300"/>
      <c r="B128" s="303"/>
      <c r="C128" s="306"/>
      <c r="D128" s="309"/>
      <c r="E128" s="306"/>
      <c r="F128" s="82" t="s">
        <v>16</v>
      </c>
      <c r="G128" s="83">
        <f>H128+I128+J128+K128+M128</f>
        <v>16930620.719999999</v>
      </c>
      <c r="H128" s="83">
        <f t="shared" si="36"/>
        <v>3811477.51</v>
      </c>
      <c r="I128" s="83">
        <f t="shared" si="36"/>
        <v>3351399.4800000004</v>
      </c>
      <c r="J128" s="83">
        <f t="shared" ref="J128:M129" si="37">+J132+J136+J140+J144+J148+J152+J156</f>
        <v>2980398.27</v>
      </c>
      <c r="K128" s="83">
        <f t="shared" si="37"/>
        <v>3670049.58</v>
      </c>
      <c r="L128" s="83">
        <f t="shared" si="37"/>
        <v>3020382.51</v>
      </c>
      <c r="M128" s="83">
        <f t="shared" si="37"/>
        <v>3117295.88</v>
      </c>
      <c r="N128" s="259"/>
    </row>
    <row r="129" spans="1:15" ht="21.75" customHeight="1" x14ac:dyDescent="0.25">
      <c r="A129" s="301"/>
      <c r="B129" s="304"/>
      <c r="C129" s="307"/>
      <c r="D129" s="310"/>
      <c r="E129" s="307"/>
      <c r="F129" s="82" t="s">
        <v>17</v>
      </c>
      <c r="G129" s="83">
        <f>H129+I129+J129+K129+M129</f>
        <v>68852750.890000001</v>
      </c>
      <c r="H129" s="83">
        <f t="shared" si="36"/>
        <v>6399100</v>
      </c>
      <c r="I129" s="83">
        <f t="shared" si="36"/>
        <v>14548499.999999998</v>
      </c>
      <c r="J129" s="83">
        <f t="shared" si="37"/>
        <v>14846650.890000001</v>
      </c>
      <c r="K129" s="83">
        <f t="shared" si="37"/>
        <v>17189400</v>
      </c>
      <c r="L129" s="83">
        <f t="shared" si="37"/>
        <v>16644100</v>
      </c>
      <c r="M129" s="83">
        <f t="shared" si="37"/>
        <v>15869100</v>
      </c>
      <c r="N129" s="259"/>
    </row>
    <row r="130" spans="1:15" ht="21.75" customHeight="1" x14ac:dyDescent="0.25">
      <c r="A130" s="247" t="s">
        <v>78</v>
      </c>
      <c r="B130" s="250" t="s">
        <v>64</v>
      </c>
      <c r="C130" s="253" t="s">
        <v>11</v>
      </c>
      <c r="D130" s="262" t="s">
        <v>65</v>
      </c>
      <c r="E130" s="253" t="s">
        <v>153</v>
      </c>
      <c r="F130" s="85" t="s">
        <v>14</v>
      </c>
      <c r="G130" s="86">
        <f t="shared" ref="G130:M130" si="38">G131+G132+G133</f>
        <v>3240284.2800000003</v>
      </c>
      <c r="H130" s="86">
        <f t="shared" si="38"/>
        <v>547300</v>
      </c>
      <c r="I130" s="86">
        <f t="shared" si="38"/>
        <v>708294.28</v>
      </c>
      <c r="J130" s="86">
        <f t="shared" si="38"/>
        <v>721420</v>
      </c>
      <c r="K130" s="86">
        <f t="shared" si="38"/>
        <v>639900</v>
      </c>
      <c r="L130" s="86">
        <f>L131+L132+L133</f>
        <v>638490</v>
      </c>
      <c r="M130" s="86">
        <f t="shared" si="38"/>
        <v>623370</v>
      </c>
      <c r="N130" s="258" t="s">
        <v>66</v>
      </c>
    </row>
    <row r="131" spans="1:15" ht="21.75" customHeight="1" x14ac:dyDescent="0.25">
      <c r="A131" s="248"/>
      <c r="B131" s="251"/>
      <c r="C131" s="254"/>
      <c r="D131" s="263"/>
      <c r="E131" s="254"/>
      <c r="F131" s="85" t="s">
        <v>133</v>
      </c>
      <c r="G131" s="86">
        <f>H131+I131+J131+K131+M131</f>
        <v>2072394.28</v>
      </c>
      <c r="H131" s="86">
        <v>408000</v>
      </c>
      <c r="I131" s="86">
        <f>433440+44154.28</f>
        <v>477594.28</v>
      </c>
      <c r="J131" s="86">
        <f>526320-61920</f>
        <v>464400</v>
      </c>
      <c r="K131" s="86">
        <v>361200</v>
      </c>
      <c r="L131" s="86">
        <v>361200</v>
      </c>
      <c r="M131" s="86">
        <v>361200</v>
      </c>
      <c r="N131" s="259"/>
    </row>
    <row r="132" spans="1:15" ht="21.75" customHeight="1" x14ac:dyDescent="0.25">
      <c r="A132" s="248"/>
      <c r="B132" s="251"/>
      <c r="C132" s="254"/>
      <c r="D132" s="263"/>
      <c r="E132" s="254"/>
      <c r="F132" s="85" t="s">
        <v>16</v>
      </c>
      <c r="G132" s="86">
        <f>H132+I132+J132+K132+M132</f>
        <v>1167890</v>
      </c>
      <c r="H132" s="86">
        <v>139300</v>
      </c>
      <c r="I132" s="86">
        <v>230700</v>
      </c>
      <c r="J132" s="86">
        <v>257020</v>
      </c>
      <c r="K132" s="86">
        <v>278700</v>
      </c>
      <c r="L132" s="86">
        <v>277290</v>
      </c>
      <c r="M132" s="86">
        <v>262170</v>
      </c>
      <c r="N132" s="259"/>
    </row>
    <row r="133" spans="1:15" ht="21.75" customHeight="1" x14ac:dyDescent="0.25">
      <c r="A133" s="249"/>
      <c r="B133" s="252"/>
      <c r="C133" s="254"/>
      <c r="D133" s="264"/>
      <c r="E133" s="255"/>
      <c r="F133" s="85" t="s">
        <v>17</v>
      </c>
      <c r="G133" s="86">
        <f>H133+I133+J133+K133+M133</f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  <c r="N133" s="284"/>
    </row>
    <row r="134" spans="1:15" ht="21.75" customHeight="1" x14ac:dyDescent="0.25">
      <c r="A134" s="247" t="s">
        <v>81</v>
      </c>
      <c r="B134" s="250" t="s">
        <v>67</v>
      </c>
      <c r="C134" s="253" t="s">
        <v>11</v>
      </c>
      <c r="D134" s="268" t="s">
        <v>147</v>
      </c>
      <c r="E134" s="253" t="s">
        <v>153</v>
      </c>
      <c r="F134" s="85" t="s">
        <v>14</v>
      </c>
      <c r="G134" s="86">
        <f t="shared" ref="G134:M134" si="39">G135+G136+G137</f>
        <v>7492612.9000000004</v>
      </c>
      <c r="H134" s="86">
        <f t="shared" si="39"/>
        <v>104312.9</v>
      </c>
      <c r="I134" s="86">
        <f t="shared" si="39"/>
        <v>1803468</v>
      </c>
      <c r="J134" s="86">
        <f t="shared" si="39"/>
        <v>1803468</v>
      </c>
      <c r="K134" s="86">
        <f t="shared" si="39"/>
        <v>1993788</v>
      </c>
      <c r="L134" s="86">
        <f>L135+L136+L137</f>
        <v>1787576</v>
      </c>
      <c r="M134" s="86">
        <f t="shared" si="39"/>
        <v>1787576</v>
      </c>
      <c r="N134" s="258" t="s">
        <v>68</v>
      </c>
    </row>
    <row r="135" spans="1:15" ht="21.75" customHeight="1" x14ac:dyDescent="0.25">
      <c r="A135" s="248"/>
      <c r="B135" s="251"/>
      <c r="C135" s="254"/>
      <c r="D135" s="269"/>
      <c r="E135" s="254"/>
      <c r="F135" s="85" t="s">
        <v>133</v>
      </c>
      <c r="G135" s="86">
        <f>H135+I135+J135+K135+M135</f>
        <v>3901568.9</v>
      </c>
      <c r="H135" s="86">
        <v>104312.9</v>
      </c>
      <c r="I135" s="86">
        <f>500000+401734</f>
        <v>901734</v>
      </c>
      <c r="J135" s="86">
        <v>901734</v>
      </c>
      <c r="K135" s="86">
        <v>1100000</v>
      </c>
      <c r="L135" s="86">
        <v>893788</v>
      </c>
      <c r="M135" s="86">
        <v>893788</v>
      </c>
      <c r="N135" s="259"/>
      <c r="O135" s="95"/>
    </row>
    <row r="136" spans="1:15" ht="21.75" customHeight="1" x14ac:dyDescent="0.25">
      <c r="A136" s="248"/>
      <c r="B136" s="251"/>
      <c r="C136" s="254"/>
      <c r="D136" s="269"/>
      <c r="E136" s="254"/>
      <c r="F136" s="85" t="s">
        <v>16</v>
      </c>
      <c r="G136" s="86">
        <f>H136+I136+J136+K136+M136</f>
        <v>3591044</v>
      </c>
      <c r="H136" s="86"/>
      <c r="I136" s="86">
        <v>901734</v>
      </c>
      <c r="J136" s="86">
        <v>901734</v>
      </c>
      <c r="K136" s="86">
        <v>893788</v>
      </c>
      <c r="L136" s="86">
        <v>893788</v>
      </c>
      <c r="M136" s="86">
        <v>893788</v>
      </c>
      <c r="N136" s="259"/>
    </row>
    <row r="137" spans="1:15" ht="21.75" customHeight="1" x14ac:dyDescent="0.25">
      <c r="A137" s="249"/>
      <c r="B137" s="252"/>
      <c r="C137" s="254"/>
      <c r="D137" s="270"/>
      <c r="E137" s="255"/>
      <c r="F137" s="85" t="s">
        <v>17</v>
      </c>
      <c r="G137" s="86">
        <f>H137+I137+J137+K137+M137</f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284"/>
    </row>
    <row r="138" spans="1:15" ht="21.75" customHeight="1" x14ac:dyDescent="0.25">
      <c r="A138" s="247" t="s">
        <v>83</v>
      </c>
      <c r="B138" s="250" t="s">
        <v>69</v>
      </c>
      <c r="C138" s="253" t="s">
        <v>11</v>
      </c>
      <c r="D138" s="268" t="s">
        <v>147</v>
      </c>
      <c r="E138" s="253" t="s">
        <v>153</v>
      </c>
      <c r="F138" s="85" t="s">
        <v>14</v>
      </c>
      <c r="G138" s="86">
        <f t="shared" ref="G138:M138" si="40">G139+G140+G141</f>
        <v>4037679.9699999997</v>
      </c>
      <c r="H138" s="86">
        <f t="shared" si="40"/>
        <v>2568957</v>
      </c>
      <c r="I138" s="86">
        <f t="shared" si="40"/>
        <v>1360722.97</v>
      </c>
      <c r="J138" s="86">
        <f t="shared" si="40"/>
        <v>0</v>
      </c>
      <c r="K138" s="86">
        <f t="shared" si="40"/>
        <v>108000</v>
      </c>
      <c r="L138" s="86">
        <f>L139+L140+L141</f>
        <v>0</v>
      </c>
      <c r="M138" s="86">
        <f t="shared" si="40"/>
        <v>0</v>
      </c>
      <c r="N138" s="258" t="s">
        <v>70</v>
      </c>
    </row>
    <row r="139" spans="1:15" ht="21.75" customHeight="1" x14ac:dyDescent="0.25">
      <c r="A139" s="248"/>
      <c r="B139" s="251"/>
      <c r="C139" s="254"/>
      <c r="D139" s="269"/>
      <c r="E139" s="254"/>
      <c r="F139" s="85" t="s">
        <v>133</v>
      </c>
      <c r="G139" s="86">
        <f>H139+I139+J139+K139+M139</f>
        <v>1636903.99</v>
      </c>
      <c r="H139" s="86">
        <v>770687.1</v>
      </c>
      <c r="I139" s="86">
        <f>670000-411783.11+500000</f>
        <v>758216.89</v>
      </c>
      <c r="J139" s="86">
        <f>257165-257165</f>
        <v>0</v>
      </c>
      <c r="K139" s="86">
        <v>108000</v>
      </c>
      <c r="L139" s="86">
        <v>0</v>
      </c>
      <c r="M139" s="86">
        <v>0</v>
      </c>
      <c r="N139" s="259"/>
      <c r="O139" s="95"/>
    </row>
    <row r="140" spans="1:15" ht="21.75" customHeight="1" x14ac:dyDescent="0.25">
      <c r="A140" s="248"/>
      <c r="B140" s="251"/>
      <c r="C140" s="254"/>
      <c r="D140" s="269"/>
      <c r="E140" s="254"/>
      <c r="F140" s="85" t="s">
        <v>16</v>
      </c>
      <c r="G140" s="86">
        <f>H140+I140+J140+K140+M140</f>
        <v>2400775.98</v>
      </c>
      <c r="H140" s="86">
        <v>1798269.9</v>
      </c>
      <c r="I140" s="86">
        <v>602506.07999999996</v>
      </c>
      <c r="J140" s="86">
        <f>600051-600051</f>
        <v>0</v>
      </c>
      <c r="K140" s="86">
        <v>0</v>
      </c>
      <c r="L140" s="86">
        <v>0</v>
      </c>
      <c r="M140" s="86">
        <v>0</v>
      </c>
      <c r="N140" s="259"/>
    </row>
    <row r="141" spans="1:15" ht="21.75" customHeight="1" x14ac:dyDescent="0.25">
      <c r="A141" s="249"/>
      <c r="B141" s="252"/>
      <c r="C141" s="254"/>
      <c r="D141" s="270"/>
      <c r="E141" s="255"/>
      <c r="F141" s="85" t="s">
        <v>17</v>
      </c>
      <c r="G141" s="86">
        <f>H141+I141+J141+K141+M141</f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  <c r="N141" s="284"/>
    </row>
    <row r="142" spans="1:15" ht="21.75" customHeight="1" x14ac:dyDescent="0.25">
      <c r="A142" s="247" t="s">
        <v>120</v>
      </c>
      <c r="B142" s="250" t="s">
        <v>72</v>
      </c>
      <c r="C142" s="253" t="s">
        <v>11</v>
      </c>
      <c r="D142" s="268" t="s">
        <v>42</v>
      </c>
      <c r="E142" s="253" t="s">
        <v>153</v>
      </c>
      <c r="F142" s="85" t="s">
        <v>14</v>
      </c>
      <c r="G142" s="86">
        <f t="shared" ref="G142:M142" si="41">G143+G144+G145</f>
        <v>77943557.030000001</v>
      </c>
      <c r="H142" s="86">
        <f t="shared" si="41"/>
        <v>8281288.9000000004</v>
      </c>
      <c r="I142" s="86">
        <f t="shared" si="41"/>
        <v>16181140.539999999</v>
      </c>
      <c r="J142" s="86">
        <f t="shared" si="41"/>
        <v>16514372.370000001</v>
      </c>
      <c r="K142" s="86">
        <f t="shared" si="41"/>
        <v>19118469.050000001</v>
      </c>
      <c r="L142" s="86">
        <f>L143+L144+L145</f>
        <v>18511916.43</v>
      </c>
      <c r="M142" s="86">
        <f t="shared" si="41"/>
        <v>17848286.170000002</v>
      </c>
      <c r="N142" s="258" t="s">
        <v>73</v>
      </c>
    </row>
    <row r="143" spans="1:15" ht="21.75" customHeight="1" x14ac:dyDescent="0.25">
      <c r="A143" s="248"/>
      <c r="B143" s="251"/>
      <c r="C143" s="254"/>
      <c r="D143" s="269"/>
      <c r="E143" s="254"/>
      <c r="F143" s="85" t="s">
        <v>133</v>
      </c>
      <c r="G143" s="86">
        <f>H143+I143+J143+K143+M143</f>
        <v>79511.399999999994</v>
      </c>
      <c r="H143" s="86">
        <v>8281.2900000000009</v>
      </c>
      <c r="I143" s="86">
        <v>16181.139999999996</v>
      </c>
      <c r="J143" s="87">
        <f>17660.82+421.39</f>
        <v>18082.21</v>
      </c>
      <c r="K143" s="87">
        <v>19118.47</v>
      </c>
      <c r="L143" s="87">
        <v>18511.919999999998</v>
      </c>
      <c r="M143" s="87">
        <v>17848.29</v>
      </c>
      <c r="N143" s="259"/>
    </row>
    <row r="144" spans="1:15" ht="21.75" customHeight="1" x14ac:dyDescent="0.25">
      <c r="A144" s="248"/>
      <c r="B144" s="251"/>
      <c r="C144" s="254"/>
      <c r="D144" s="269"/>
      <c r="E144" s="254"/>
      <c r="F144" s="85" t="s">
        <v>16</v>
      </c>
      <c r="G144" s="86">
        <f>H144+I144+J144+K144+M144</f>
        <v>9011294.7400000002</v>
      </c>
      <c r="H144" s="86">
        <f>1873906.61+1</f>
        <v>1873907.61</v>
      </c>
      <c r="I144" s="86">
        <v>1616459.4000000001</v>
      </c>
      <c r="J144" s="87">
        <f>'[4]остатки средств в ФК_3'!$AH$112</f>
        <v>1649639.27</v>
      </c>
      <c r="K144" s="87">
        <v>1909950.58</v>
      </c>
      <c r="L144" s="87">
        <v>1849304.51</v>
      </c>
      <c r="M144" s="87">
        <v>1961337.88</v>
      </c>
      <c r="N144" s="259"/>
    </row>
    <row r="145" spans="1:14" ht="21.75" customHeight="1" x14ac:dyDescent="0.25">
      <c r="A145" s="249"/>
      <c r="B145" s="252"/>
      <c r="C145" s="254"/>
      <c r="D145" s="270"/>
      <c r="E145" s="255"/>
      <c r="F145" s="85" t="s">
        <v>17</v>
      </c>
      <c r="G145" s="86">
        <f>H145+I145+J145+K145+M145</f>
        <v>68852750.890000001</v>
      </c>
      <c r="H145" s="86">
        <v>6399100</v>
      </c>
      <c r="I145" s="86">
        <v>14548499.999999998</v>
      </c>
      <c r="J145" s="87">
        <f>'[4]остатки средств в ФК_3'!$AG$112</f>
        <v>14846650.890000001</v>
      </c>
      <c r="K145" s="87">
        <v>17189400</v>
      </c>
      <c r="L145" s="87">
        <v>16644100</v>
      </c>
      <c r="M145" s="87">
        <v>15869100</v>
      </c>
      <c r="N145" s="284"/>
    </row>
    <row r="146" spans="1:14" ht="21.75" customHeight="1" x14ac:dyDescent="0.25">
      <c r="A146" s="247" t="s">
        <v>86</v>
      </c>
      <c r="B146" s="250" t="s">
        <v>74</v>
      </c>
      <c r="C146" s="253" t="s">
        <v>11</v>
      </c>
      <c r="D146" s="268" t="s">
        <v>42</v>
      </c>
      <c r="E146" s="253" t="s">
        <v>153</v>
      </c>
      <c r="F146" s="85" t="s">
        <v>14</v>
      </c>
      <c r="G146" s="86">
        <f t="shared" ref="G146:M146" si="42">G147+G148+G149</f>
        <v>9021293.0300000012</v>
      </c>
      <c r="H146" s="86">
        <f t="shared" si="42"/>
        <v>0</v>
      </c>
      <c r="I146" s="86">
        <f t="shared" si="42"/>
        <v>0</v>
      </c>
      <c r="J146" s="86">
        <f t="shared" si="42"/>
        <v>2749897.15</v>
      </c>
      <c r="K146" s="86">
        <f t="shared" si="42"/>
        <v>3885684.72</v>
      </c>
      <c r="L146" s="86">
        <f>L147+L148+L149</f>
        <v>2385722.9</v>
      </c>
      <c r="M146" s="86">
        <f t="shared" si="42"/>
        <v>2385711.16</v>
      </c>
      <c r="N146" s="258" t="s">
        <v>75</v>
      </c>
    </row>
    <row r="147" spans="1:14" ht="21.75" customHeight="1" x14ac:dyDescent="0.25">
      <c r="A147" s="248"/>
      <c r="B147" s="251"/>
      <c r="C147" s="254"/>
      <c r="D147" s="269"/>
      <c r="E147" s="254"/>
      <c r="F147" s="85" t="s">
        <v>133</v>
      </c>
      <c r="G147" s="86">
        <f>H147+I147+J147+K147+M147</f>
        <v>9021293.0300000012</v>
      </c>
      <c r="H147" s="86"/>
      <c r="I147" s="86"/>
      <c r="J147" s="86">
        <v>2749897.15</v>
      </c>
      <c r="K147" s="86">
        <v>3885684.72</v>
      </c>
      <c r="L147" s="86">
        <v>2385722.9</v>
      </c>
      <c r="M147" s="86">
        <v>2385711.16</v>
      </c>
      <c r="N147" s="259"/>
    </row>
    <row r="148" spans="1:14" ht="21.75" customHeight="1" x14ac:dyDescent="0.25">
      <c r="A148" s="248"/>
      <c r="B148" s="251"/>
      <c r="C148" s="254"/>
      <c r="D148" s="269"/>
      <c r="E148" s="254"/>
      <c r="F148" s="85" t="s">
        <v>16</v>
      </c>
      <c r="G148" s="86">
        <f>H148+I148+J148+K148+M148</f>
        <v>0</v>
      </c>
      <c r="H148" s="86"/>
      <c r="I148" s="86"/>
      <c r="J148" s="86">
        <v>0</v>
      </c>
      <c r="K148" s="86">
        <v>0</v>
      </c>
      <c r="L148" s="86">
        <v>0</v>
      </c>
      <c r="M148" s="86">
        <v>0</v>
      </c>
      <c r="N148" s="259"/>
    </row>
    <row r="149" spans="1:14" ht="21.75" customHeight="1" x14ac:dyDescent="0.25">
      <c r="A149" s="249"/>
      <c r="B149" s="252"/>
      <c r="C149" s="254"/>
      <c r="D149" s="270"/>
      <c r="E149" s="255"/>
      <c r="F149" s="85" t="s">
        <v>17</v>
      </c>
      <c r="G149" s="86">
        <f>H149+I149+J149+K149+M149</f>
        <v>0</v>
      </c>
      <c r="H149" s="86"/>
      <c r="I149" s="86"/>
      <c r="J149" s="86">
        <v>0</v>
      </c>
      <c r="K149" s="86">
        <v>0</v>
      </c>
      <c r="L149" s="86">
        <v>0</v>
      </c>
      <c r="M149" s="86">
        <v>0</v>
      </c>
      <c r="N149" s="284"/>
    </row>
    <row r="150" spans="1:14" ht="21.75" customHeight="1" x14ac:dyDescent="0.25">
      <c r="A150" s="247" t="s">
        <v>121</v>
      </c>
      <c r="B150" s="250" t="s">
        <v>76</v>
      </c>
      <c r="C150" s="253" t="s">
        <v>11</v>
      </c>
      <c r="D150" s="268" t="s">
        <v>42</v>
      </c>
      <c r="E150" s="253" t="s">
        <v>153</v>
      </c>
      <c r="F150" s="85" t="s">
        <v>14</v>
      </c>
      <c r="G150" s="86">
        <f t="shared" ref="G150:M150" si="43">G151+G152+G153</f>
        <v>4107171.49</v>
      </c>
      <c r="H150" s="86">
        <f t="shared" si="43"/>
        <v>0</v>
      </c>
      <c r="I150" s="86">
        <f t="shared" si="43"/>
        <v>0</v>
      </c>
      <c r="J150" s="86">
        <f t="shared" si="43"/>
        <v>1646729.49</v>
      </c>
      <c r="K150" s="86">
        <f t="shared" si="43"/>
        <v>1630221</v>
      </c>
      <c r="L150" s="86">
        <f>L151+L152+L153</f>
        <v>830221</v>
      </c>
      <c r="M150" s="86">
        <f t="shared" si="43"/>
        <v>830221</v>
      </c>
      <c r="N150" s="258" t="s">
        <v>77</v>
      </c>
    </row>
    <row r="151" spans="1:14" ht="21.75" customHeight="1" x14ac:dyDescent="0.25">
      <c r="A151" s="248"/>
      <c r="B151" s="251"/>
      <c r="C151" s="254"/>
      <c r="D151" s="269"/>
      <c r="E151" s="254"/>
      <c r="F151" s="85" t="s">
        <v>133</v>
      </c>
      <c r="G151" s="86">
        <f>H151+I151+J151+K151+M151</f>
        <v>4107171.49</v>
      </c>
      <c r="H151" s="86"/>
      <c r="I151" s="86"/>
      <c r="J151" s="86">
        <v>1646729.49</v>
      </c>
      <c r="K151" s="86">
        <v>1630221</v>
      </c>
      <c r="L151" s="86">
        <v>830221</v>
      </c>
      <c r="M151" s="86">
        <v>830221</v>
      </c>
      <c r="N151" s="259"/>
    </row>
    <row r="152" spans="1:14" ht="21.75" customHeight="1" x14ac:dyDescent="0.25">
      <c r="A152" s="248"/>
      <c r="B152" s="251"/>
      <c r="C152" s="254"/>
      <c r="D152" s="269"/>
      <c r="E152" s="254"/>
      <c r="F152" s="85" t="s">
        <v>16</v>
      </c>
      <c r="G152" s="86">
        <f>H152+I152+J152+K152+M152</f>
        <v>0</v>
      </c>
      <c r="H152" s="86"/>
      <c r="I152" s="86"/>
      <c r="J152" s="86">
        <v>0</v>
      </c>
      <c r="K152" s="86">
        <v>0</v>
      </c>
      <c r="L152" s="86">
        <v>0</v>
      </c>
      <c r="M152" s="86">
        <v>0</v>
      </c>
      <c r="N152" s="259"/>
    </row>
    <row r="153" spans="1:14" ht="21.75" customHeight="1" x14ac:dyDescent="0.25">
      <c r="A153" s="249"/>
      <c r="B153" s="252"/>
      <c r="C153" s="254"/>
      <c r="D153" s="270"/>
      <c r="E153" s="255"/>
      <c r="F153" s="85" t="s">
        <v>17</v>
      </c>
      <c r="G153" s="86">
        <f>H153+I153+J153+K153+M153</f>
        <v>0</v>
      </c>
      <c r="H153" s="86"/>
      <c r="I153" s="86"/>
      <c r="J153" s="86">
        <v>0</v>
      </c>
      <c r="K153" s="86">
        <v>0</v>
      </c>
      <c r="L153" s="86">
        <v>0</v>
      </c>
      <c r="M153" s="86">
        <v>0</v>
      </c>
      <c r="N153" s="284"/>
    </row>
    <row r="154" spans="1:14" ht="21.75" customHeight="1" x14ac:dyDescent="0.25">
      <c r="A154" s="247" t="s">
        <v>89</v>
      </c>
      <c r="B154" s="287" t="s">
        <v>136</v>
      </c>
      <c r="C154" s="290" t="s">
        <v>11</v>
      </c>
      <c r="D154" s="292" t="s">
        <v>42</v>
      </c>
      <c r="E154" s="290" t="s">
        <v>153</v>
      </c>
      <c r="F154" s="91" t="s">
        <v>14</v>
      </c>
      <c r="G154" s="87">
        <f t="shared" ref="G154:M154" si="44">G155+G156+G157</f>
        <v>759616</v>
      </c>
      <c r="H154" s="87">
        <f t="shared" si="44"/>
        <v>0</v>
      </c>
      <c r="I154" s="87">
        <f t="shared" si="44"/>
        <v>0</v>
      </c>
      <c r="J154" s="87">
        <f t="shared" si="44"/>
        <v>172005</v>
      </c>
      <c r="K154" s="87">
        <f t="shared" si="44"/>
        <v>587611</v>
      </c>
      <c r="L154" s="87">
        <f t="shared" si="44"/>
        <v>0</v>
      </c>
      <c r="M154" s="87">
        <f t="shared" si="44"/>
        <v>0</v>
      </c>
      <c r="N154" s="296" t="s">
        <v>137</v>
      </c>
    </row>
    <row r="155" spans="1:14" ht="21.75" customHeight="1" x14ac:dyDescent="0.25">
      <c r="A155" s="248"/>
      <c r="B155" s="288"/>
      <c r="C155" s="291"/>
      <c r="D155" s="293"/>
      <c r="E155" s="291"/>
      <c r="F155" s="91" t="s">
        <v>15</v>
      </c>
      <c r="G155" s="87">
        <f>H155+I155+J155+K155+L155</f>
        <v>0</v>
      </c>
      <c r="H155" s="87"/>
      <c r="I155" s="87"/>
      <c r="J155" s="87">
        <v>0</v>
      </c>
      <c r="K155" s="87">
        <v>0</v>
      </c>
      <c r="L155" s="87">
        <v>0</v>
      </c>
      <c r="M155" s="87">
        <v>0</v>
      </c>
      <c r="N155" s="297"/>
    </row>
    <row r="156" spans="1:14" ht="21.75" customHeight="1" x14ac:dyDescent="0.25">
      <c r="A156" s="248"/>
      <c r="B156" s="288"/>
      <c r="C156" s="291"/>
      <c r="D156" s="293"/>
      <c r="E156" s="291"/>
      <c r="F156" s="91" t="s">
        <v>16</v>
      </c>
      <c r="G156" s="87">
        <f>H156+I156+J156+K156+L156</f>
        <v>759616</v>
      </c>
      <c r="H156" s="87"/>
      <c r="I156" s="87"/>
      <c r="J156" s="87">
        <v>172005</v>
      </c>
      <c r="K156" s="87">
        <v>587611</v>
      </c>
      <c r="L156" s="87">
        <v>0</v>
      </c>
      <c r="M156" s="87">
        <v>0</v>
      </c>
      <c r="N156" s="297"/>
    </row>
    <row r="157" spans="1:14" ht="21.75" customHeight="1" x14ac:dyDescent="0.25">
      <c r="A157" s="249"/>
      <c r="B157" s="289"/>
      <c r="C157" s="291"/>
      <c r="D157" s="294"/>
      <c r="E157" s="295"/>
      <c r="F157" s="91" t="s">
        <v>17</v>
      </c>
      <c r="G157" s="87">
        <f>H157+I157+J157+K157+L157</f>
        <v>0</v>
      </c>
      <c r="H157" s="87"/>
      <c r="I157" s="87"/>
      <c r="J157" s="87">
        <v>0</v>
      </c>
      <c r="K157" s="87">
        <v>0</v>
      </c>
      <c r="L157" s="87">
        <v>0</v>
      </c>
      <c r="M157" s="87">
        <v>0</v>
      </c>
      <c r="N157" s="298"/>
    </row>
    <row r="158" spans="1:14" ht="22.5" customHeight="1" x14ac:dyDescent="0.25">
      <c r="A158" s="238"/>
      <c r="B158" s="241" t="s">
        <v>143</v>
      </c>
      <c r="C158" s="244" t="s">
        <v>11</v>
      </c>
      <c r="D158" s="279" t="s">
        <v>12</v>
      </c>
      <c r="E158" s="244" t="s">
        <v>153</v>
      </c>
      <c r="F158" s="79" t="s">
        <v>14</v>
      </c>
      <c r="G158" s="80">
        <f t="shared" ref="G158:M158" si="45">G159+G160+G161</f>
        <v>352562010.94</v>
      </c>
      <c r="H158" s="80">
        <f>H159+H160+H161</f>
        <v>33765416.269999996</v>
      </c>
      <c r="I158" s="80">
        <f>I159+I160+I161</f>
        <v>51849700.129999995</v>
      </c>
      <c r="J158" s="80">
        <f>J159+J160+J161</f>
        <v>175908008.94999999</v>
      </c>
      <c r="K158" s="80">
        <f t="shared" si="45"/>
        <v>85901561.980000004</v>
      </c>
      <c r="L158" s="80">
        <f>L159+L160+L161</f>
        <v>5032773.8599999994</v>
      </c>
      <c r="M158" s="80">
        <f t="shared" si="45"/>
        <v>5137323.6099999994</v>
      </c>
      <c r="N158" s="274"/>
    </row>
    <row r="159" spans="1:14" ht="22.5" customHeight="1" x14ac:dyDescent="0.25">
      <c r="A159" s="239"/>
      <c r="B159" s="242"/>
      <c r="C159" s="245"/>
      <c r="D159" s="285"/>
      <c r="E159" s="245"/>
      <c r="F159" s="79" t="s">
        <v>133</v>
      </c>
      <c r="G159" s="80">
        <f>H159+I159+J159+K159+M159</f>
        <v>60203099.280000001</v>
      </c>
      <c r="H159" s="80">
        <f>H163+H195+H207+H211+H199+H203+H219+H223+H215+H171+H183+H175+H179+H187+H191+H167</f>
        <v>11096398.129999999</v>
      </c>
      <c r="I159" s="80">
        <f t="shared" ref="I159:M159" si="46">I163+I195+I207+I211+I199+I203+I219+I223+I215+I171+I183+I175+I179+I187+I191+I167</f>
        <v>13999034.969999999</v>
      </c>
      <c r="J159" s="80">
        <f t="shared" si="46"/>
        <v>16915030.59</v>
      </c>
      <c r="K159" s="80">
        <f t="shared" si="46"/>
        <v>13055311.98</v>
      </c>
      <c r="L159" s="80">
        <f t="shared" si="46"/>
        <v>5032773.8599999994</v>
      </c>
      <c r="M159" s="80">
        <f t="shared" si="46"/>
        <v>5137323.6099999994</v>
      </c>
      <c r="N159" s="275"/>
    </row>
    <row r="160" spans="1:14" ht="22.5" customHeight="1" x14ac:dyDescent="0.25">
      <c r="A160" s="239"/>
      <c r="B160" s="242"/>
      <c r="C160" s="245"/>
      <c r="D160" s="285"/>
      <c r="E160" s="245"/>
      <c r="F160" s="79" t="s">
        <v>16</v>
      </c>
      <c r="G160" s="80">
        <f>H160+I160+J160+K160+M160</f>
        <v>104224995.23</v>
      </c>
      <c r="H160" s="80">
        <f t="shared" ref="H160:M161" si="47">H164+H196+H208+H212+H200+H204+H220+H224+H216+H172+H184+H176+H180+H188+H192+H168</f>
        <v>19227384.140000001</v>
      </c>
      <c r="I160" s="80">
        <f t="shared" si="47"/>
        <v>17200900.700000003</v>
      </c>
      <c r="J160" s="80">
        <f t="shared" si="47"/>
        <v>24353296.359999999</v>
      </c>
      <c r="K160" s="80">
        <f t="shared" si="47"/>
        <v>43443414.030000001</v>
      </c>
      <c r="L160" s="80">
        <f t="shared" si="47"/>
        <v>0</v>
      </c>
      <c r="M160" s="80">
        <f t="shared" si="47"/>
        <v>0</v>
      </c>
      <c r="N160" s="275"/>
    </row>
    <row r="161" spans="1:26" ht="22.5" customHeight="1" x14ac:dyDescent="0.25">
      <c r="A161" s="240"/>
      <c r="B161" s="243"/>
      <c r="C161" s="246"/>
      <c r="D161" s="286"/>
      <c r="E161" s="246"/>
      <c r="F161" s="79" t="s">
        <v>17</v>
      </c>
      <c r="G161" s="80">
        <f>H161+I161+J161+K161+M161</f>
        <v>188133916.43000001</v>
      </c>
      <c r="H161" s="80">
        <f t="shared" si="47"/>
        <v>3441634</v>
      </c>
      <c r="I161" s="80">
        <f t="shared" si="47"/>
        <v>20649764.459999997</v>
      </c>
      <c r="J161" s="80">
        <f t="shared" si="47"/>
        <v>134639682</v>
      </c>
      <c r="K161" s="80">
        <f t="shared" si="47"/>
        <v>29402835.969999999</v>
      </c>
      <c r="L161" s="80">
        <f t="shared" si="47"/>
        <v>0</v>
      </c>
      <c r="M161" s="80">
        <f t="shared" si="47"/>
        <v>0</v>
      </c>
      <c r="N161" s="276"/>
      <c r="Z161" s="61"/>
    </row>
    <row r="162" spans="1:26" ht="21.75" customHeight="1" x14ac:dyDescent="0.25">
      <c r="A162" s="247" t="s">
        <v>18</v>
      </c>
      <c r="B162" s="250" t="s">
        <v>79</v>
      </c>
      <c r="C162" s="253" t="s">
        <v>11</v>
      </c>
      <c r="D162" s="268" t="s">
        <v>42</v>
      </c>
      <c r="E162" s="253" t="s">
        <v>153</v>
      </c>
      <c r="F162" s="85" t="s">
        <v>14</v>
      </c>
      <c r="G162" s="86">
        <f t="shared" ref="G162:M162" si="48">G163+G164+G165</f>
        <v>64368253.679999992</v>
      </c>
      <c r="H162" s="86">
        <f t="shared" si="48"/>
        <v>14048396.27</v>
      </c>
      <c r="I162" s="86">
        <f t="shared" si="48"/>
        <v>23290645.129999999</v>
      </c>
      <c r="J162" s="87">
        <f t="shared" si="48"/>
        <v>10367208.279999999</v>
      </c>
      <c r="K162" s="86">
        <f t="shared" si="48"/>
        <v>16352004</v>
      </c>
      <c r="L162" s="86">
        <f>L163+L164+L165</f>
        <v>310000</v>
      </c>
      <c r="M162" s="86">
        <f t="shared" si="48"/>
        <v>310000</v>
      </c>
      <c r="N162" s="258" t="s">
        <v>148</v>
      </c>
    </row>
    <row r="163" spans="1:26" ht="21.75" customHeight="1" x14ac:dyDescent="0.25">
      <c r="A163" s="248"/>
      <c r="B163" s="251"/>
      <c r="C163" s="254"/>
      <c r="D163" s="269"/>
      <c r="E163" s="254"/>
      <c r="F163" s="85" t="s">
        <v>133</v>
      </c>
      <c r="G163" s="86">
        <f>H163+I163+J163+K163+M163</f>
        <v>25264870.379999995</v>
      </c>
      <c r="H163" s="86">
        <v>4977603.13</v>
      </c>
      <c r="I163" s="86">
        <f>7673601.18+600000+400000-13542.21+500000</f>
        <v>9160058.9699999988</v>
      </c>
      <c r="J163" s="87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86">
        <f>450000</f>
        <v>450000</v>
      </c>
      <c r="L163" s="86">
        <f>60000+250000</f>
        <v>310000</v>
      </c>
      <c r="M163" s="86">
        <v>310000</v>
      </c>
      <c r="N163" s="259"/>
      <c r="P163" s="61">
        <f>1759000+1400000+4507295+1195000</f>
        <v>8861295</v>
      </c>
      <c r="Q163" s="61">
        <f>P163-O163</f>
        <v>8861295</v>
      </c>
    </row>
    <row r="164" spans="1:26" ht="21.75" customHeight="1" x14ac:dyDescent="0.25">
      <c r="A164" s="248"/>
      <c r="B164" s="251"/>
      <c r="C164" s="254"/>
      <c r="D164" s="269"/>
      <c r="E164" s="254"/>
      <c r="F164" s="85" t="s">
        <v>16</v>
      </c>
      <c r="G164" s="86">
        <f>H164+I164+J164+K164+M164</f>
        <v>39103383.299999997</v>
      </c>
      <c r="H164" s="86">
        <f>3714220.8+5356572.34</f>
        <v>9070793.1400000006</v>
      </c>
      <c r="I164" s="86">
        <v>14130586.16</v>
      </c>
      <c r="J164" s="87">
        <f>1500000-1500000</f>
        <v>0</v>
      </c>
      <c r="K164" s="86">
        <f>16686400+1076000-1370000-490396</f>
        <v>15902004</v>
      </c>
      <c r="L164" s="86">
        <v>0</v>
      </c>
      <c r="M164" s="86">
        <v>0</v>
      </c>
      <c r="N164" s="259"/>
      <c r="Q164" s="61"/>
    </row>
    <row r="165" spans="1:26" ht="21.75" customHeight="1" x14ac:dyDescent="0.25">
      <c r="A165" s="249"/>
      <c r="B165" s="252"/>
      <c r="C165" s="255"/>
      <c r="D165" s="270"/>
      <c r="E165" s="255"/>
      <c r="F165" s="85" t="s">
        <v>17</v>
      </c>
      <c r="G165" s="86">
        <f>H165+I165+J165+K165+M165</f>
        <v>0</v>
      </c>
      <c r="H165" s="86">
        <v>0</v>
      </c>
      <c r="I165" s="86">
        <v>0</v>
      </c>
      <c r="J165" s="87">
        <v>0</v>
      </c>
      <c r="K165" s="86">
        <v>0</v>
      </c>
      <c r="L165" s="86">
        <v>0</v>
      </c>
      <c r="M165" s="86">
        <v>0</v>
      </c>
      <c r="N165" s="259"/>
      <c r="O165" s="61"/>
    </row>
    <row r="166" spans="1:26" ht="21.75" customHeight="1" x14ac:dyDescent="0.25">
      <c r="A166" s="247" t="s">
        <v>25</v>
      </c>
      <c r="B166" s="250" t="s">
        <v>119</v>
      </c>
      <c r="C166" s="253" t="s">
        <v>11</v>
      </c>
      <c r="D166" s="268" t="s">
        <v>80</v>
      </c>
      <c r="E166" s="253" t="s">
        <v>153</v>
      </c>
      <c r="F166" s="85" t="s">
        <v>14</v>
      </c>
      <c r="G166" s="86">
        <f t="shared" ref="G166:K166" si="49">G167+G168+G169</f>
        <v>207594448.94</v>
      </c>
      <c r="H166" s="86">
        <f t="shared" si="49"/>
        <v>0</v>
      </c>
      <c r="I166" s="86">
        <f t="shared" si="49"/>
        <v>0</v>
      </c>
      <c r="J166" s="87">
        <f t="shared" si="49"/>
        <v>160296473.78</v>
      </c>
      <c r="K166" s="86">
        <f t="shared" si="49"/>
        <v>47297975.159999996</v>
      </c>
      <c r="L166" s="86">
        <f>L167+L168+L169</f>
        <v>0</v>
      </c>
      <c r="M166" s="86">
        <f t="shared" ref="M166" si="50">M167+M168+M169</f>
        <v>0</v>
      </c>
      <c r="N166" s="259"/>
    </row>
    <row r="167" spans="1:26" ht="21.75" customHeight="1" x14ac:dyDescent="0.25">
      <c r="A167" s="248"/>
      <c r="B167" s="251"/>
      <c r="C167" s="254"/>
      <c r="D167" s="269"/>
      <c r="E167" s="254"/>
      <c r="F167" s="85" t="s">
        <v>133</v>
      </c>
      <c r="G167" s="86">
        <f>H167+I167+J167+K167+M167</f>
        <v>7162202.0599999996</v>
      </c>
      <c r="H167" s="86">
        <v>0</v>
      </c>
      <c r="I167" s="86">
        <v>0</v>
      </c>
      <c r="J167" s="87">
        <v>3291454.2199999997</v>
      </c>
      <c r="K167" s="86">
        <f>337451+3533296.84</f>
        <v>3870747.84</v>
      </c>
      <c r="L167" s="86">
        <v>0</v>
      </c>
      <c r="M167" s="86">
        <v>0</v>
      </c>
      <c r="N167" s="259"/>
      <c r="P167" s="61">
        <f>1759000+1400000+4507295+1195000</f>
        <v>8861295</v>
      </c>
      <c r="Q167" s="61">
        <f>P167-O167</f>
        <v>8861295</v>
      </c>
    </row>
    <row r="168" spans="1:26" ht="21.75" customHeight="1" x14ac:dyDescent="0.25">
      <c r="A168" s="248"/>
      <c r="B168" s="251"/>
      <c r="C168" s="254"/>
      <c r="D168" s="269"/>
      <c r="E168" s="254"/>
      <c r="F168" s="85" t="s">
        <v>16</v>
      </c>
      <c r="G168" s="86">
        <f>H168+I168+J168+K168+M168</f>
        <v>37994164.879999995</v>
      </c>
      <c r="H168" s="86">
        <v>0</v>
      </c>
      <c r="I168" s="86">
        <v>0</v>
      </c>
      <c r="J168" s="87">
        <v>22365337.559999999</v>
      </c>
      <c r="K168" s="86">
        <v>15628827.32</v>
      </c>
      <c r="L168" s="86">
        <v>0</v>
      </c>
      <c r="M168" s="86">
        <v>0</v>
      </c>
      <c r="N168" s="259"/>
      <c r="Q168" s="61"/>
    </row>
    <row r="169" spans="1:26" ht="21.75" customHeight="1" x14ac:dyDescent="0.25">
      <c r="A169" s="249"/>
      <c r="B169" s="252"/>
      <c r="C169" s="254"/>
      <c r="D169" s="270"/>
      <c r="E169" s="255"/>
      <c r="F169" s="85" t="s">
        <v>17</v>
      </c>
      <c r="G169" s="86">
        <f>H169+I169+J169+K169+M169</f>
        <v>162438082</v>
      </c>
      <c r="H169" s="86">
        <v>0</v>
      </c>
      <c r="I169" s="86">
        <v>0</v>
      </c>
      <c r="J169" s="87">
        <v>134639682</v>
      </c>
      <c r="K169" s="86">
        <v>27798400</v>
      </c>
      <c r="L169" s="86">
        <v>0</v>
      </c>
      <c r="M169" s="86">
        <v>0</v>
      </c>
      <c r="N169" s="259"/>
      <c r="O169" s="61"/>
    </row>
    <row r="170" spans="1:26" ht="21.75" customHeight="1" x14ac:dyDescent="0.25">
      <c r="A170" s="247" t="s">
        <v>25</v>
      </c>
      <c r="B170" s="250" t="s">
        <v>155</v>
      </c>
      <c r="C170" s="253" t="s">
        <v>11</v>
      </c>
      <c r="D170" s="268" t="s">
        <v>80</v>
      </c>
      <c r="E170" s="253" t="s">
        <v>153</v>
      </c>
      <c r="F170" s="85" t="s">
        <v>14</v>
      </c>
      <c r="G170" s="86">
        <f t="shared" ref="G170:M170" si="51">G171+G172+G173</f>
        <v>1106622.68</v>
      </c>
      <c r="H170" s="86">
        <f t="shared" si="51"/>
        <v>0</v>
      </c>
      <c r="I170" s="86">
        <f t="shared" si="51"/>
        <v>0</v>
      </c>
      <c r="J170" s="87">
        <f t="shared" si="51"/>
        <v>0</v>
      </c>
      <c r="K170" s="86">
        <f t="shared" si="51"/>
        <v>1106622.68</v>
      </c>
      <c r="L170" s="86">
        <f>L171+L172+L173</f>
        <v>0</v>
      </c>
      <c r="M170" s="86">
        <f t="shared" si="51"/>
        <v>0</v>
      </c>
      <c r="N170" s="259"/>
    </row>
    <row r="171" spans="1:26" ht="21.75" customHeight="1" x14ac:dyDescent="0.25">
      <c r="A171" s="248"/>
      <c r="B171" s="251"/>
      <c r="C171" s="254"/>
      <c r="D171" s="269"/>
      <c r="E171" s="254"/>
      <c r="F171" s="85" t="s">
        <v>133</v>
      </c>
      <c r="G171" s="86">
        <f>H171+I171+J171+K171+M171</f>
        <v>0</v>
      </c>
      <c r="H171" s="86">
        <v>0</v>
      </c>
      <c r="I171" s="86">
        <v>0</v>
      </c>
      <c r="J171" s="87">
        <v>0</v>
      </c>
      <c r="K171" s="86"/>
      <c r="L171" s="86">
        <v>0</v>
      </c>
      <c r="M171" s="86">
        <v>0</v>
      </c>
      <c r="N171" s="259"/>
      <c r="P171" s="61">
        <f>1759000+1400000+4507295+1195000</f>
        <v>8861295</v>
      </c>
      <c r="Q171" s="61">
        <f>P171-O171</f>
        <v>8861295</v>
      </c>
    </row>
    <row r="172" spans="1:26" ht="21.75" customHeight="1" x14ac:dyDescent="0.25">
      <c r="A172" s="248"/>
      <c r="B172" s="251"/>
      <c r="C172" s="254"/>
      <c r="D172" s="269"/>
      <c r="E172" s="254"/>
      <c r="F172" s="85" t="s">
        <v>16</v>
      </c>
      <c r="G172" s="86">
        <f>H172+I172+J172+K172+M172</f>
        <v>1106622.68</v>
      </c>
      <c r="H172" s="86">
        <v>0</v>
      </c>
      <c r="I172" s="86">
        <v>0</v>
      </c>
      <c r="J172" s="87">
        <v>0</v>
      </c>
      <c r="K172" s="86">
        <v>1106622.68</v>
      </c>
      <c r="L172" s="86">
        <v>0</v>
      </c>
      <c r="M172" s="86">
        <v>0</v>
      </c>
      <c r="N172" s="259"/>
      <c r="Q172" s="61"/>
    </row>
    <row r="173" spans="1:26" ht="21.75" customHeight="1" x14ac:dyDescent="0.25">
      <c r="A173" s="249"/>
      <c r="B173" s="252"/>
      <c r="C173" s="254"/>
      <c r="D173" s="270"/>
      <c r="E173" s="255"/>
      <c r="F173" s="85" t="s">
        <v>17</v>
      </c>
      <c r="G173" s="86">
        <f>H173+I173+J173+K173+M173</f>
        <v>0</v>
      </c>
      <c r="H173" s="86">
        <v>0</v>
      </c>
      <c r="I173" s="86">
        <v>0</v>
      </c>
      <c r="J173" s="87">
        <v>0</v>
      </c>
      <c r="K173" s="86"/>
      <c r="L173" s="86">
        <v>0</v>
      </c>
      <c r="M173" s="86">
        <v>0</v>
      </c>
      <c r="N173" s="259"/>
      <c r="O173" s="61"/>
    </row>
    <row r="174" spans="1:26" ht="21.75" customHeight="1" x14ac:dyDescent="0.25">
      <c r="A174" s="247" t="s">
        <v>44</v>
      </c>
      <c r="B174" s="250" t="s">
        <v>59</v>
      </c>
      <c r="C174" s="253" t="s">
        <v>11</v>
      </c>
      <c r="D174" s="262" t="s">
        <v>60</v>
      </c>
      <c r="E174" s="253" t="s">
        <v>153</v>
      </c>
      <c r="F174" s="85" t="s">
        <v>14</v>
      </c>
      <c r="G174" s="86">
        <f t="shared" ref="G174:M174" si="52">G175+G176+G177</f>
        <v>22025521</v>
      </c>
      <c r="H174" s="86">
        <f t="shared" si="52"/>
        <v>12027171</v>
      </c>
      <c r="I174" s="86">
        <f t="shared" si="52"/>
        <v>2498350</v>
      </c>
      <c r="J174" s="86">
        <f t="shared" si="52"/>
        <v>0</v>
      </c>
      <c r="K174" s="86">
        <f t="shared" si="52"/>
        <v>7500000</v>
      </c>
      <c r="L174" s="86">
        <f t="shared" si="52"/>
        <v>0</v>
      </c>
      <c r="M174" s="86">
        <f t="shared" si="52"/>
        <v>0</v>
      </c>
      <c r="N174" s="259"/>
    </row>
    <row r="175" spans="1:26" ht="21.75" customHeight="1" x14ac:dyDescent="0.25">
      <c r="A175" s="248"/>
      <c r="B175" s="251"/>
      <c r="C175" s="254"/>
      <c r="D175" s="263"/>
      <c r="E175" s="254"/>
      <c r="F175" s="85" t="s">
        <v>133</v>
      </c>
      <c r="G175" s="86">
        <f>H175+I175+J175+K175+M175</f>
        <v>2477901</v>
      </c>
      <c r="H175" s="86">
        <v>900000</v>
      </c>
      <c r="I175" s="86">
        <v>77901</v>
      </c>
      <c r="J175" s="86">
        <v>0</v>
      </c>
      <c r="K175" s="86">
        <v>1500000</v>
      </c>
      <c r="L175" s="86">
        <v>0</v>
      </c>
      <c r="M175" s="86">
        <v>0</v>
      </c>
      <c r="N175" s="259"/>
    </row>
    <row r="176" spans="1:26" ht="21.75" customHeight="1" x14ac:dyDescent="0.25">
      <c r="A176" s="248"/>
      <c r="B176" s="251"/>
      <c r="C176" s="254"/>
      <c r="D176" s="263"/>
      <c r="E176" s="254"/>
      <c r="F176" s="85" t="s">
        <v>16</v>
      </c>
      <c r="G176" s="86">
        <f>H176+I176+J176+K176+M176</f>
        <v>13745422.969999999</v>
      </c>
      <c r="H176" s="86">
        <v>7685537</v>
      </c>
      <c r="I176" s="86">
        <f>464321.94+1200000</f>
        <v>1664321.94</v>
      </c>
      <c r="J176" s="86">
        <v>0</v>
      </c>
      <c r="K176" s="86">
        <v>4395564.03</v>
      </c>
      <c r="L176" s="86">
        <v>0</v>
      </c>
      <c r="M176" s="86">
        <v>0</v>
      </c>
      <c r="N176" s="259"/>
    </row>
    <row r="177" spans="1:17" ht="21.75" customHeight="1" x14ac:dyDescent="0.25">
      <c r="A177" s="249"/>
      <c r="B177" s="252"/>
      <c r="C177" s="254"/>
      <c r="D177" s="264"/>
      <c r="E177" s="255"/>
      <c r="F177" s="85" t="s">
        <v>17</v>
      </c>
      <c r="G177" s="86">
        <f>H177+I177+J177+K177+M177</f>
        <v>5802197.0300000003</v>
      </c>
      <c r="H177" s="86">
        <v>3441634</v>
      </c>
      <c r="I177" s="86">
        <v>756127.06</v>
      </c>
      <c r="J177" s="86">
        <v>0</v>
      </c>
      <c r="K177" s="86">
        <v>1604435.97</v>
      </c>
      <c r="L177" s="86">
        <v>0</v>
      </c>
      <c r="M177" s="86">
        <v>0</v>
      </c>
      <c r="N177" s="259"/>
    </row>
    <row r="178" spans="1:17" s="31" customFormat="1" ht="21.75" customHeight="1" x14ac:dyDescent="0.3">
      <c r="A178" s="247" t="s">
        <v>78</v>
      </c>
      <c r="B178" s="250" t="s">
        <v>61</v>
      </c>
      <c r="C178" s="253" t="s">
        <v>11</v>
      </c>
      <c r="D178" s="281" t="s">
        <v>62</v>
      </c>
      <c r="E178" s="253" t="s">
        <v>153</v>
      </c>
      <c r="F178" s="85" t="s">
        <v>14</v>
      </c>
      <c r="G178" s="86">
        <f t="shared" ref="G178:M178" si="53">G179+G180+G181</f>
        <v>21151290</v>
      </c>
      <c r="H178" s="86">
        <f t="shared" si="53"/>
        <v>0</v>
      </c>
      <c r="I178" s="86">
        <f t="shared" si="53"/>
        <v>21151290</v>
      </c>
      <c r="J178" s="86">
        <f t="shared" si="53"/>
        <v>0</v>
      </c>
      <c r="K178" s="86">
        <f t="shared" si="53"/>
        <v>0</v>
      </c>
      <c r="L178" s="86">
        <f t="shared" si="53"/>
        <v>0</v>
      </c>
      <c r="M178" s="86">
        <f t="shared" si="53"/>
        <v>0</v>
      </c>
      <c r="N178" s="259"/>
    </row>
    <row r="179" spans="1:17" s="31" customFormat="1" ht="21.75" customHeight="1" x14ac:dyDescent="0.3">
      <c r="A179" s="248"/>
      <c r="B179" s="251"/>
      <c r="C179" s="254"/>
      <c r="D179" s="282"/>
      <c r="E179" s="254"/>
      <c r="F179" s="85" t="s">
        <v>133</v>
      </c>
      <c r="G179" s="86">
        <f>H179+I179+J179+K179+M179</f>
        <v>851660</v>
      </c>
      <c r="H179" s="86">
        <v>0</v>
      </c>
      <c r="I179" s="86">
        <f>20320+351340+480000</f>
        <v>851660</v>
      </c>
      <c r="J179" s="86">
        <v>0</v>
      </c>
      <c r="K179" s="86">
        <v>0</v>
      </c>
      <c r="L179" s="86">
        <v>0</v>
      </c>
      <c r="M179" s="86">
        <v>0</v>
      </c>
      <c r="N179" s="259"/>
      <c r="P179" s="32">
        <f>1759000+1400000+4507295+1195000</f>
        <v>8861295</v>
      </c>
      <c r="Q179" s="32">
        <f>P179-O179</f>
        <v>8861295</v>
      </c>
    </row>
    <row r="180" spans="1:17" s="31" customFormat="1" ht="21.75" customHeight="1" x14ac:dyDescent="0.3">
      <c r="A180" s="248"/>
      <c r="B180" s="251"/>
      <c r="C180" s="254"/>
      <c r="D180" s="282"/>
      <c r="E180" s="254"/>
      <c r="F180" s="85" t="s">
        <v>16</v>
      </c>
      <c r="G180" s="86">
        <f>H180+I180+J180+K180+M180</f>
        <v>405992.6</v>
      </c>
      <c r="H180" s="86">
        <v>0</v>
      </c>
      <c r="I180" s="86">
        <v>405992.6</v>
      </c>
      <c r="J180" s="86">
        <v>0</v>
      </c>
      <c r="K180" s="86">
        <v>0</v>
      </c>
      <c r="L180" s="86">
        <v>0</v>
      </c>
      <c r="M180" s="86">
        <v>0</v>
      </c>
      <c r="N180" s="259"/>
      <c r="Q180" s="32"/>
    </row>
    <row r="181" spans="1:17" s="31" customFormat="1" ht="21.75" customHeight="1" x14ac:dyDescent="0.3">
      <c r="A181" s="249"/>
      <c r="B181" s="252"/>
      <c r="C181" s="255"/>
      <c r="D181" s="283"/>
      <c r="E181" s="255"/>
      <c r="F181" s="85" t="s">
        <v>17</v>
      </c>
      <c r="G181" s="86">
        <f>H181+I181+J181+K181+M181</f>
        <v>19893637.399999999</v>
      </c>
      <c r="H181" s="86">
        <v>0</v>
      </c>
      <c r="I181" s="86">
        <v>19893637.399999999</v>
      </c>
      <c r="J181" s="86">
        <v>0</v>
      </c>
      <c r="K181" s="86">
        <v>0</v>
      </c>
      <c r="L181" s="86">
        <v>0</v>
      </c>
      <c r="M181" s="86">
        <v>0</v>
      </c>
      <c r="N181" s="259"/>
      <c r="O181" s="32"/>
    </row>
    <row r="182" spans="1:17" ht="21.75" customHeight="1" x14ac:dyDescent="0.25">
      <c r="A182" s="247" t="s">
        <v>81</v>
      </c>
      <c r="B182" s="250" t="s">
        <v>58</v>
      </c>
      <c r="C182" s="253" t="s">
        <v>11</v>
      </c>
      <c r="D182" s="262" t="s">
        <v>37</v>
      </c>
      <c r="E182" s="253" t="s">
        <v>153</v>
      </c>
      <c r="F182" s="85" t="s">
        <v>14</v>
      </c>
      <c r="G182" s="86">
        <f t="shared" ref="G182:M182" si="54">G183+G184+G185</f>
        <v>58058</v>
      </c>
      <c r="H182" s="86">
        <f t="shared" si="54"/>
        <v>58058</v>
      </c>
      <c r="I182" s="86">
        <f t="shared" si="54"/>
        <v>0</v>
      </c>
      <c r="J182" s="86">
        <f t="shared" si="54"/>
        <v>0</v>
      </c>
      <c r="K182" s="86">
        <f t="shared" si="54"/>
        <v>0</v>
      </c>
      <c r="L182" s="86">
        <f t="shared" si="54"/>
        <v>0</v>
      </c>
      <c r="M182" s="86">
        <f t="shared" si="54"/>
        <v>0</v>
      </c>
      <c r="N182" s="259"/>
    </row>
    <row r="183" spans="1:17" ht="21.75" customHeight="1" x14ac:dyDescent="0.25">
      <c r="A183" s="248"/>
      <c r="B183" s="251"/>
      <c r="C183" s="254"/>
      <c r="D183" s="263"/>
      <c r="E183" s="254"/>
      <c r="F183" s="85" t="s">
        <v>133</v>
      </c>
      <c r="G183" s="86">
        <f>H183+I183+J183+K183+M183</f>
        <v>58058</v>
      </c>
      <c r="H183" s="86">
        <v>58058</v>
      </c>
      <c r="I183" s="86">
        <v>0</v>
      </c>
      <c r="J183" s="86">
        <v>0</v>
      </c>
      <c r="K183" s="86">
        <v>0</v>
      </c>
      <c r="L183" s="86">
        <v>0</v>
      </c>
      <c r="M183" s="86">
        <v>0</v>
      </c>
      <c r="N183" s="259"/>
    </row>
    <row r="184" spans="1:17" ht="21.75" customHeight="1" x14ac:dyDescent="0.25">
      <c r="A184" s="248"/>
      <c r="B184" s="251"/>
      <c r="C184" s="254"/>
      <c r="D184" s="263"/>
      <c r="E184" s="254"/>
      <c r="F184" s="85" t="s">
        <v>16</v>
      </c>
      <c r="G184" s="86">
        <f>H184+I184+J184+K184+M184</f>
        <v>0</v>
      </c>
      <c r="H184" s="86">
        <v>0</v>
      </c>
      <c r="I184" s="86">
        <v>0</v>
      </c>
      <c r="J184" s="86">
        <v>0</v>
      </c>
      <c r="K184" s="86">
        <v>0</v>
      </c>
      <c r="L184" s="86">
        <v>0</v>
      </c>
      <c r="M184" s="86">
        <v>0</v>
      </c>
      <c r="N184" s="259"/>
    </row>
    <row r="185" spans="1:17" ht="21.75" customHeight="1" x14ac:dyDescent="0.25">
      <c r="A185" s="249"/>
      <c r="B185" s="252"/>
      <c r="C185" s="254"/>
      <c r="D185" s="264"/>
      <c r="E185" s="255"/>
      <c r="F185" s="85" t="s">
        <v>17</v>
      </c>
      <c r="G185" s="86">
        <f>H185+I185+J185+K185+M185</f>
        <v>0</v>
      </c>
      <c r="H185" s="86">
        <v>0</v>
      </c>
      <c r="I185" s="86">
        <v>0</v>
      </c>
      <c r="J185" s="86">
        <v>0</v>
      </c>
      <c r="K185" s="86">
        <v>0</v>
      </c>
      <c r="L185" s="86">
        <v>0</v>
      </c>
      <c r="M185" s="86">
        <v>0</v>
      </c>
      <c r="N185" s="259"/>
    </row>
    <row r="186" spans="1:17" ht="21.75" customHeight="1" x14ac:dyDescent="0.25">
      <c r="A186" s="247" t="s">
        <v>83</v>
      </c>
      <c r="B186" s="250" t="s">
        <v>63</v>
      </c>
      <c r="C186" s="253" t="s">
        <v>11</v>
      </c>
      <c r="D186" s="262" t="s">
        <v>37</v>
      </c>
      <c r="E186" s="253" t="s">
        <v>153</v>
      </c>
      <c r="F186" s="85" t="s">
        <v>14</v>
      </c>
      <c r="G186" s="86">
        <f t="shared" ref="G186:M186" si="55">G187+G188+G189</f>
        <v>676415</v>
      </c>
      <c r="H186" s="86">
        <f t="shared" si="55"/>
        <v>0</v>
      </c>
      <c r="I186" s="86">
        <f t="shared" si="55"/>
        <v>676415</v>
      </c>
      <c r="J186" s="86">
        <f t="shared" si="55"/>
        <v>0</v>
      </c>
      <c r="K186" s="86">
        <f t="shared" si="55"/>
        <v>0</v>
      </c>
      <c r="L186" s="86">
        <f t="shared" si="55"/>
        <v>0</v>
      </c>
      <c r="M186" s="86">
        <f t="shared" si="55"/>
        <v>0</v>
      </c>
      <c r="N186" s="259"/>
    </row>
    <row r="187" spans="1:17" ht="21.75" customHeight="1" x14ac:dyDescent="0.25">
      <c r="A187" s="248"/>
      <c r="B187" s="251"/>
      <c r="C187" s="254"/>
      <c r="D187" s="263"/>
      <c r="E187" s="254"/>
      <c r="F187" s="85" t="s">
        <v>133</v>
      </c>
      <c r="G187" s="86">
        <f>H187+I187+J187+K187+M187</f>
        <v>676415</v>
      </c>
      <c r="H187" s="86">
        <v>0</v>
      </c>
      <c r="I187" s="86">
        <v>676415</v>
      </c>
      <c r="J187" s="86">
        <v>0</v>
      </c>
      <c r="K187" s="86">
        <v>0</v>
      </c>
      <c r="L187" s="86">
        <v>0</v>
      </c>
      <c r="M187" s="86">
        <v>0</v>
      </c>
      <c r="N187" s="259"/>
    </row>
    <row r="188" spans="1:17" ht="21.75" customHeight="1" x14ac:dyDescent="0.25">
      <c r="A188" s="248"/>
      <c r="B188" s="251"/>
      <c r="C188" s="254"/>
      <c r="D188" s="263"/>
      <c r="E188" s="254"/>
      <c r="F188" s="85" t="s">
        <v>16</v>
      </c>
      <c r="G188" s="86">
        <f>H188+I188+J188+K188+M188</f>
        <v>0</v>
      </c>
      <c r="H188" s="86">
        <v>0</v>
      </c>
      <c r="I188" s="86">
        <v>0</v>
      </c>
      <c r="J188" s="86">
        <v>0</v>
      </c>
      <c r="K188" s="86">
        <v>0</v>
      </c>
      <c r="L188" s="86">
        <v>0</v>
      </c>
      <c r="M188" s="86">
        <v>0</v>
      </c>
      <c r="N188" s="259"/>
    </row>
    <row r="189" spans="1:17" ht="21.75" customHeight="1" x14ac:dyDescent="0.25">
      <c r="A189" s="249"/>
      <c r="B189" s="252"/>
      <c r="C189" s="254"/>
      <c r="D189" s="264"/>
      <c r="E189" s="255"/>
      <c r="F189" s="85" t="s">
        <v>17</v>
      </c>
      <c r="G189" s="86">
        <f>H189+I189+J189+K189+M189</f>
        <v>0</v>
      </c>
      <c r="H189" s="86">
        <v>0</v>
      </c>
      <c r="I189" s="86">
        <v>0</v>
      </c>
      <c r="J189" s="86">
        <v>0</v>
      </c>
      <c r="K189" s="86">
        <v>0</v>
      </c>
      <c r="L189" s="86">
        <v>0</v>
      </c>
      <c r="M189" s="86">
        <v>0</v>
      </c>
      <c r="N189" s="259"/>
    </row>
    <row r="190" spans="1:17" ht="21.75" customHeight="1" x14ac:dyDescent="0.25">
      <c r="A190" s="247" t="s">
        <v>120</v>
      </c>
      <c r="B190" s="250" t="s">
        <v>71</v>
      </c>
      <c r="C190" s="253" t="s">
        <v>11</v>
      </c>
      <c r="D190" s="268" t="s">
        <v>149</v>
      </c>
      <c r="E190" s="253" t="s">
        <v>153</v>
      </c>
      <c r="F190" s="85" t="s">
        <v>14</v>
      </c>
      <c r="G190" s="86">
        <f>G191+G192+G193</f>
        <v>227000</v>
      </c>
      <c r="H190" s="86">
        <v>0</v>
      </c>
      <c r="I190" s="86">
        <f>I191+I192+I193</f>
        <v>0</v>
      </c>
      <c r="J190" s="86">
        <f>J191+J192+J193</f>
        <v>0</v>
      </c>
      <c r="K190" s="86">
        <v>0</v>
      </c>
      <c r="L190" s="86">
        <f>L191+L192+L193</f>
        <v>0</v>
      </c>
      <c r="M190" s="86">
        <f>M191+M192+M193</f>
        <v>0</v>
      </c>
      <c r="N190" s="259"/>
    </row>
    <row r="191" spans="1:17" ht="21.75" customHeight="1" x14ac:dyDescent="0.25">
      <c r="A191" s="248"/>
      <c r="B191" s="251"/>
      <c r="C191" s="254"/>
      <c r="D191" s="269"/>
      <c r="E191" s="254"/>
      <c r="F191" s="85" t="s">
        <v>133</v>
      </c>
      <c r="G191" s="86">
        <f>H191+I191+J191+K191+M191</f>
        <v>227000</v>
      </c>
      <c r="H191" s="86">
        <v>227000</v>
      </c>
      <c r="I191" s="86">
        <v>0</v>
      </c>
      <c r="J191" s="86">
        <v>0</v>
      </c>
      <c r="K191" s="86">
        <v>0</v>
      </c>
      <c r="L191" s="86">
        <v>0</v>
      </c>
      <c r="M191" s="86">
        <v>0</v>
      </c>
      <c r="N191" s="259"/>
    </row>
    <row r="192" spans="1:17" ht="21.75" customHeight="1" x14ac:dyDescent="0.25">
      <c r="A192" s="248"/>
      <c r="B192" s="251"/>
      <c r="C192" s="254"/>
      <c r="D192" s="269"/>
      <c r="E192" s="254"/>
      <c r="F192" s="85" t="s">
        <v>16</v>
      </c>
      <c r="G192" s="86">
        <f>H192+I192+J192+K192+M192</f>
        <v>0</v>
      </c>
      <c r="H192" s="86">
        <v>0</v>
      </c>
      <c r="I192" s="86">
        <v>0</v>
      </c>
      <c r="J192" s="86">
        <v>0</v>
      </c>
      <c r="K192" s="86">
        <v>0</v>
      </c>
      <c r="L192" s="86">
        <v>0</v>
      </c>
      <c r="M192" s="86">
        <v>0</v>
      </c>
      <c r="N192" s="259"/>
    </row>
    <row r="193" spans="1:23" ht="21.75" customHeight="1" x14ac:dyDescent="0.25">
      <c r="A193" s="249"/>
      <c r="B193" s="252"/>
      <c r="C193" s="254"/>
      <c r="D193" s="270"/>
      <c r="E193" s="255"/>
      <c r="F193" s="85" t="s">
        <v>17</v>
      </c>
      <c r="G193" s="86">
        <f>H193+I193+J193+K193+M193</f>
        <v>0</v>
      </c>
      <c r="H193" s="86">
        <v>0</v>
      </c>
      <c r="I193" s="86">
        <v>0</v>
      </c>
      <c r="J193" s="86">
        <v>0</v>
      </c>
      <c r="K193" s="86">
        <v>0</v>
      </c>
      <c r="L193" s="86">
        <v>0</v>
      </c>
      <c r="M193" s="86">
        <v>0</v>
      </c>
      <c r="N193" s="259"/>
    </row>
    <row r="194" spans="1:23" ht="21.75" customHeight="1" x14ac:dyDescent="0.25">
      <c r="A194" s="247" t="s">
        <v>86</v>
      </c>
      <c r="B194" s="250" t="s">
        <v>82</v>
      </c>
      <c r="C194" s="253" t="s">
        <v>11</v>
      </c>
      <c r="D194" s="268" t="s">
        <v>42</v>
      </c>
      <c r="E194" s="253" t="s">
        <v>153</v>
      </c>
      <c r="F194" s="85" t="s">
        <v>14</v>
      </c>
      <c r="G194" s="86">
        <f t="shared" ref="G194:M194" si="56">G195+G196+G197</f>
        <v>4525000</v>
      </c>
      <c r="H194" s="86">
        <f t="shared" si="56"/>
        <v>2525000</v>
      </c>
      <c r="I194" s="86">
        <f t="shared" si="56"/>
        <v>2000000</v>
      </c>
      <c r="J194" s="86">
        <f t="shared" si="56"/>
        <v>0</v>
      </c>
      <c r="K194" s="86">
        <f t="shared" si="56"/>
        <v>0</v>
      </c>
      <c r="L194" s="86">
        <f>L195+L196+L197</f>
        <v>0</v>
      </c>
      <c r="M194" s="86">
        <f t="shared" si="56"/>
        <v>0</v>
      </c>
      <c r="N194" s="259"/>
      <c r="O194" s="61"/>
      <c r="W194" s="61" t="e">
        <f>#REF!+#REF!+#REF!+#REF!</f>
        <v>#REF!</v>
      </c>
    </row>
    <row r="195" spans="1:23" ht="21.75" customHeight="1" x14ac:dyDescent="0.25">
      <c r="A195" s="248"/>
      <c r="B195" s="251"/>
      <c r="C195" s="254"/>
      <c r="D195" s="269"/>
      <c r="E195" s="254"/>
      <c r="F195" s="85" t="s">
        <v>133</v>
      </c>
      <c r="G195" s="86">
        <f>H195+I195+J195+K195+M195</f>
        <v>2052500</v>
      </c>
      <c r="H195" s="86">
        <f>1000000+47250+5250</f>
        <v>1052500</v>
      </c>
      <c r="I195" s="86">
        <v>1000000</v>
      </c>
      <c r="J195" s="86">
        <v>0</v>
      </c>
      <c r="K195" s="86">
        <v>0</v>
      </c>
      <c r="L195" s="86">
        <v>0</v>
      </c>
      <c r="M195" s="86">
        <v>0</v>
      </c>
      <c r="N195" s="259"/>
    </row>
    <row r="196" spans="1:23" ht="21.75" customHeight="1" x14ac:dyDescent="0.25">
      <c r="A196" s="248"/>
      <c r="B196" s="251"/>
      <c r="C196" s="254"/>
      <c r="D196" s="269"/>
      <c r="E196" s="254"/>
      <c r="F196" s="85" t="s">
        <v>16</v>
      </c>
      <c r="G196" s="86">
        <f>H196+I196+J196+K196+M196</f>
        <v>2472500</v>
      </c>
      <c r="H196" s="86">
        <f>1000000+472500</f>
        <v>1472500</v>
      </c>
      <c r="I196" s="86">
        <v>1000000</v>
      </c>
      <c r="J196" s="86">
        <v>0</v>
      </c>
      <c r="K196" s="86">
        <v>0</v>
      </c>
      <c r="L196" s="86">
        <v>0</v>
      </c>
      <c r="M196" s="86">
        <v>0</v>
      </c>
      <c r="N196" s="259"/>
    </row>
    <row r="197" spans="1:23" ht="21.75" customHeight="1" x14ac:dyDescent="0.25">
      <c r="A197" s="249"/>
      <c r="B197" s="252"/>
      <c r="C197" s="255"/>
      <c r="D197" s="270"/>
      <c r="E197" s="255"/>
      <c r="F197" s="85" t="s">
        <v>17</v>
      </c>
      <c r="G197" s="86">
        <f>H197+I197+J197+K197+M197</f>
        <v>0</v>
      </c>
      <c r="H197" s="86">
        <v>0</v>
      </c>
      <c r="I197" s="86">
        <v>0</v>
      </c>
      <c r="J197" s="86">
        <v>0</v>
      </c>
      <c r="K197" s="86">
        <v>0</v>
      </c>
      <c r="L197" s="86">
        <v>0</v>
      </c>
      <c r="M197" s="86">
        <v>0</v>
      </c>
      <c r="N197" s="259"/>
    </row>
    <row r="198" spans="1:23" s="93" customFormat="1" ht="21.75" customHeight="1" x14ac:dyDescent="0.25">
      <c r="A198" s="247" t="s">
        <v>121</v>
      </c>
      <c r="B198" s="250" t="s">
        <v>92</v>
      </c>
      <c r="C198" s="253" t="s">
        <v>11</v>
      </c>
      <c r="D198" s="268" t="s">
        <v>42</v>
      </c>
      <c r="E198" s="253" t="s">
        <v>153</v>
      </c>
      <c r="F198" s="85" t="s">
        <v>14</v>
      </c>
      <c r="G198" s="86">
        <f t="shared" ref="G198:M198" si="57">G199+G200+G201</f>
        <v>10636538.800000001</v>
      </c>
      <c r="H198" s="86">
        <f t="shared" si="57"/>
        <v>1316716</v>
      </c>
      <c r="I198" s="86">
        <f t="shared" si="57"/>
        <v>0</v>
      </c>
      <c r="J198" s="86">
        <f t="shared" si="57"/>
        <v>2487958.7999999998</v>
      </c>
      <c r="K198" s="86">
        <f t="shared" si="57"/>
        <v>6831864</v>
      </c>
      <c r="L198" s="86">
        <f t="shared" si="57"/>
        <v>0</v>
      </c>
      <c r="M198" s="86">
        <f t="shared" si="57"/>
        <v>0</v>
      </c>
      <c r="N198" s="259"/>
    </row>
    <row r="199" spans="1:23" s="93" customFormat="1" ht="21.75" customHeight="1" x14ac:dyDescent="0.25">
      <c r="A199" s="248"/>
      <c r="B199" s="251"/>
      <c r="C199" s="254"/>
      <c r="D199" s="269"/>
      <c r="E199" s="254"/>
      <c r="F199" s="85" t="s">
        <v>133</v>
      </c>
      <c r="G199" s="86">
        <f>H199+I199+J199+K199+M199</f>
        <v>4188101</v>
      </c>
      <c r="H199" s="86">
        <f>368777+87460</f>
        <v>456237</v>
      </c>
      <c r="I199" s="86">
        <v>0</v>
      </c>
      <c r="J199" s="86">
        <f>+'[7]остатки средств в ФК_2'!$R$52</f>
        <v>750000</v>
      </c>
      <c r="K199" s="86">
        <v>2981864</v>
      </c>
      <c r="L199" s="86">
        <v>0</v>
      </c>
      <c r="M199" s="86">
        <v>0</v>
      </c>
      <c r="N199" s="259"/>
    </row>
    <row r="200" spans="1:23" s="93" customFormat="1" ht="21.75" customHeight="1" x14ac:dyDescent="0.25">
      <c r="A200" s="248"/>
      <c r="B200" s="251"/>
      <c r="C200" s="254"/>
      <c r="D200" s="269"/>
      <c r="E200" s="254"/>
      <c r="F200" s="85" t="s">
        <v>16</v>
      </c>
      <c r="G200" s="86">
        <f>H200+I200+J200+K200+M200</f>
        <v>6448437.7999999998</v>
      </c>
      <c r="H200" s="86">
        <v>860479</v>
      </c>
      <c r="I200" s="86">
        <v>0</v>
      </c>
      <c r="J200" s="86">
        <f>'[8]остатки средств в ФК_2'!$Y$46</f>
        <v>1737958.8</v>
      </c>
      <c r="K200" s="86">
        <v>3850000</v>
      </c>
      <c r="L200" s="86">
        <v>0</v>
      </c>
      <c r="M200" s="86">
        <v>0</v>
      </c>
      <c r="N200" s="259"/>
    </row>
    <row r="201" spans="1:23" s="93" customFormat="1" ht="21.75" customHeight="1" x14ac:dyDescent="0.25">
      <c r="A201" s="249"/>
      <c r="B201" s="252"/>
      <c r="C201" s="255"/>
      <c r="D201" s="270"/>
      <c r="E201" s="255"/>
      <c r="F201" s="85" t="s">
        <v>17</v>
      </c>
      <c r="G201" s="86">
        <f>H201+I201+J201+K201+M201</f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259"/>
    </row>
    <row r="202" spans="1:23" ht="21.75" customHeight="1" x14ac:dyDescent="0.25">
      <c r="A202" s="247" t="s">
        <v>89</v>
      </c>
      <c r="B202" s="250" t="s">
        <v>90</v>
      </c>
      <c r="C202" s="253" t="s">
        <v>11</v>
      </c>
      <c r="D202" s="268" t="s">
        <v>42</v>
      </c>
      <c r="E202" s="253" t="s">
        <v>153</v>
      </c>
      <c r="F202" s="85" t="s">
        <v>14</v>
      </c>
      <c r="G202" s="86">
        <f t="shared" ref="G202:M202" si="58">G203+G204+G205</f>
        <v>0</v>
      </c>
      <c r="H202" s="86">
        <f t="shared" si="58"/>
        <v>0</v>
      </c>
      <c r="I202" s="86">
        <f t="shared" si="58"/>
        <v>0</v>
      </c>
      <c r="J202" s="86">
        <f t="shared" si="58"/>
        <v>0</v>
      </c>
      <c r="K202" s="86">
        <f t="shared" si="58"/>
        <v>0</v>
      </c>
      <c r="L202" s="86">
        <f t="shared" si="58"/>
        <v>0</v>
      </c>
      <c r="M202" s="86">
        <f t="shared" si="58"/>
        <v>0</v>
      </c>
      <c r="N202" s="259"/>
    </row>
    <row r="203" spans="1:23" ht="21.75" customHeight="1" x14ac:dyDescent="0.25">
      <c r="A203" s="248"/>
      <c r="B203" s="251"/>
      <c r="C203" s="254"/>
      <c r="D203" s="269"/>
      <c r="E203" s="254"/>
      <c r="F203" s="85" t="s">
        <v>15</v>
      </c>
      <c r="G203" s="86">
        <f>H203+I203+J203+K203+M203</f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0</v>
      </c>
      <c r="M203" s="86">
        <v>0</v>
      </c>
      <c r="N203" s="259"/>
    </row>
    <row r="204" spans="1:23" ht="21.75" customHeight="1" x14ac:dyDescent="0.25">
      <c r="A204" s="248"/>
      <c r="B204" s="251"/>
      <c r="C204" s="254"/>
      <c r="D204" s="269"/>
      <c r="E204" s="254"/>
      <c r="F204" s="85" t="s">
        <v>16</v>
      </c>
      <c r="G204" s="86">
        <f>H204+I204+J204+K204+M204</f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</v>
      </c>
      <c r="M204" s="86">
        <v>0</v>
      </c>
      <c r="N204" s="259"/>
    </row>
    <row r="205" spans="1:23" ht="21.75" customHeight="1" x14ac:dyDescent="0.25">
      <c r="A205" s="249"/>
      <c r="B205" s="252"/>
      <c r="C205" s="255"/>
      <c r="D205" s="270"/>
      <c r="E205" s="255"/>
      <c r="F205" s="85" t="s">
        <v>17</v>
      </c>
      <c r="G205" s="86">
        <f>H205+I205+J205+K205+M205</f>
        <v>0</v>
      </c>
      <c r="H205" s="86">
        <v>0</v>
      </c>
      <c r="I205" s="86">
        <v>0</v>
      </c>
      <c r="J205" s="86">
        <v>0</v>
      </c>
      <c r="K205" s="86">
        <v>0</v>
      </c>
      <c r="L205" s="86">
        <v>0</v>
      </c>
      <c r="M205" s="86">
        <v>0</v>
      </c>
      <c r="N205" s="259"/>
    </row>
    <row r="206" spans="1:23" ht="21.75" customHeight="1" x14ac:dyDescent="0.25">
      <c r="A206" s="247" t="s">
        <v>94</v>
      </c>
      <c r="B206" s="250" t="s">
        <v>84</v>
      </c>
      <c r="C206" s="253" t="s">
        <v>11</v>
      </c>
      <c r="D206" s="268" t="s">
        <v>12</v>
      </c>
      <c r="E206" s="253" t="s">
        <v>153</v>
      </c>
      <c r="F206" s="85" t="s">
        <v>14</v>
      </c>
      <c r="G206" s="86">
        <f t="shared" ref="G206:M206" si="59">G207+G208+G209</f>
        <v>12787862.84</v>
      </c>
      <c r="H206" s="86">
        <f t="shared" si="59"/>
        <v>3038075</v>
      </c>
      <c r="I206" s="86">
        <f t="shared" si="59"/>
        <v>2233000</v>
      </c>
      <c r="J206" s="86">
        <f t="shared" si="59"/>
        <v>2146368.09</v>
      </c>
      <c r="K206" s="86">
        <f t="shared" si="59"/>
        <v>2643096.14</v>
      </c>
      <c r="L206" s="86">
        <f>L207+L208+L209</f>
        <v>2622773.86</v>
      </c>
      <c r="M206" s="86">
        <f t="shared" si="59"/>
        <v>2727323.61</v>
      </c>
      <c r="N206" s="259"/>
    </row>
    <row r="207" spans="1:23" ht="21.75" customHeight="1" x14ac:dyDescent="0.25">
      <c r="A207" s="248"/>
      <c r="B207" s="251"/>
      <c r="C207" s="254"/>
      <c r="D207" s="269"/>
      <c r="E207" s="254"/>
      <c r="F207" s="85" t="s">
        <v>133</v>
      </c>
      <c r="G207" s="86">
        <f t="shared" ref="G207:G217" si="60">H207+I207+J207+K207+M207</f>
        <v>12159391.84</v>
      </c>
      <c r="H207" s="86">
        <f>3200000-300000-62034+62034</f>
        <v>2900000</v>
      </c>
      <c r="I207" s="86">
        <f>1933000+300000</f>
        <v>2233000</v>
      </c>
      <c r="J207" s="86">
        <v>2146368.09</v>
      </c>
      <c r="K207" s="86">
        <v>2152700.14</v>
      </c>
      <c r="L207" s="86">
        <v>2622773.86</v>
      </c>
      <c r="M207" s="86">
        <v>2727323.61</v>
      </c>
      <c r="N207" s="259"/>
    </row>
    <row r="208" spans="1:23" ht="21.75" customHeight="1" x14ac:dyDescent="0.25">
      <c r="A208" s="248"/>
      <c r="B208" s="251"/>
      <c r="C208" s="254"/>
      <c r="D208" s="269"/>
      <c r="E208" s="254"/>
      <c r="F208" s="85" t="s">
        <v>16</v>
      </c>
      <c r="G208" s="86">
        <f t="shared" si="60"/>
        <v>628471</v>
      </c>
      <c r="H208" s="86">
        <v>138075</v>
      </c>
      <c r="I208" s="86">
        <v>0</v>
      </c>
      <c r="J208" s="86">
        <v>0</v>
      </c>
      <c r="K208" s="86">
        <v>490396</v>
      </c>
      <c r="L208" s="86">
        <v>0</v>
      </c>
      <c r="M208" s="86">
        <v>0</v>
      </c>
      <c r="N208" s="259"/>
      <c r="P208" s="61"/>
    </row>
    <row r="209" spans="1:16" ht="21.75" customHeight="1" x14ac:dyDescent="0.25">
      <c r="A209" s="249"/>
      <c r="B209" s="252"/>
      <c r="C209" s="255"/>
      <c r="D209" s="270"/>
      <c r="E209" s="255"/>
      <c r="F209" s="85" t="s">
        <v>17</v>
      </c>
      <c r="G209" s="86">
        <f t="shared" si="60"/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  <c r="M209" s="86">
        <v>0</v>
      </c>
      <c r="N209" s="259"/>
      <c r="P209" s="61"/>
    </row>
    <row r="210" spans="1:16" ht="21.75" customHeight="1" x14ac:dyDescent="0.25">
      <c r="A210" s="280" t="s">
        <v>102</v>
      </c>
      <c r="B210" s="250" t="s">
        <v>87</v>
      </c>
      <c r="C210" s="253" t="s">
        <v>11</v>
      </c>
      <c r="D210" s="268" t="s">
        <v>42</v>
      </c>
      <c r="E210" s="253" t="s">
        <v>153</v>
      </c>
      <c r="F210" s="85" t="s">
        <v>14</v>
      </c>
      <c r="G210" s="86">
        <f t="shared" ref="G210:M210" si="61">G211+G212+G213</f>
        <v>7405000</v>
      </c>
      <c r="H210" s="86">
        <f t="shared" si="61"/>
        <v>525000</v>
      </c>
      <c r="I210" s="86">
        <f t="shared" si="61"/>
        <v>0</v>
      </c>
      <c r="J210" s="86">
        <f t="shared" si="61"/>
        <v>610000</v>
      </c>
      <c r="K210" s="86">
        <f t="shared" si="61"/>
        <v>4170000</v>
      </c>
      <c r="L210" s="86">
        <f>L211+L212+L213</f>
        <v>2100000</v>
      </c>
      <c r="M210" s="86">
        <f t="shared" si="61"/>
        <v>2100000</v>
      </c>
      <c r="N210" s="259"/>
    </row>
    <row r="211" spans="1:16" ht="21.75" customHeight="1" x14ac:dyDescent="0.25">
      <c r="A211" s="248"/>
      <c r="B211" s="251"/>
      <c r="C211" s="254"/>
      <c r="D211" s="269"/>
      <c r="E211" s="254"/>
      <c r="F211" s="85" t="s">
        <v>133</v>
      </c>
      <c r="G211" s="86">
        <f t="shared" si="60"/>
        <v>5085000</v>
      </c>
      <c r="H211" s="86">
        <f>700000+300000-475000</f>
        <v>525000</v>
      </c>
      <c r="I211" s="86">
        <v>0</v>
      </c>
      <c r="J211" s="86">
        <f>500000+600000-140000-600000</f>
        <v>360000</v>
      </c>
      <c r="K211" s="86">
        <v>2100000</v>
      </c>
      <c r="L211" s="86">
        <v>2100000</v>
      </c>
      <c r="M211" s="86">
        <v>2100000</v>
      </c>
      <c r="N211" s="259"/>
      <c r="P211" s="59">
        <v>854209197.39999998</v>
      </c>
    </row>
    <row r="212" spans="1:16" ht="21.75" customHeight="1" x14ac:dyDescent="0.25">
      <c r="A212" s="248"/>
      <c r="B212" s="251"/>
      <c r="C212" s="254"/>
      <c r="D212" s="269"/>
      <c r="E212" s="254"/>
      <c r="F212" s="85" t="s">
        <v>16</v>
      </c>
      <c r="G212" s="86">
        <f t="shared" si="60"/>
        <v>2320000</v>
      </c>
      <c r="H212" s="86">
        <v>0</v>
      </c>
      <c r="I212" s="86">
        <v>0</v>
      </c>
      <c r="J212" s="86">
        <v>250000</v>
      </c>
      <c r="K212" s="86">
        <v>2070000</v>
      </c>
      <c r="L212" s="86">
        <v>0</v>
      </c>
      <c r="M212" s="86">
        <v>0</v>
      </c>
      <c r="N212" s="259"/>
      <c r="P212" s="59">
        <v>852492090</v>
      </c>
    </row>
    <row r="213" spans="1:16" ht="21.75" customHeight="1" x14ac:dyDescent="0.25">
      <c r="A213" s="249"/>
      <c r="B213" s="252"/>
      <c r="C213" s="255"/>
      <c r="D213" s="270"/>
      <c r="E213" s="255"/>
      <c r="F213" s="85" t="s">
        <v>17</v>
      </c>
      <c r="G213" s="86">
        <f t="shared" si="60"/>
        <v>0</v>
      </c>
      <c r="H213" s="86">
        <v>0</v>
      </c>
      <c r="I213" s="86">
        <v>0</v>
      </c>
      <c r="J213" s="86">
        <v>0</v>
      </c>
      <c r="K213" s="86">
        <v>0</v>
      </c>
      <c r="L213" s="86">
        <v>0</v>
      </c>
      <c r="M213" s="86">
        <v>0</v>
      </c>
      <c r="N213" s="259"/>
      <c r="P213" s="59">
        <f>P211-P212</f>
        <v>1717107.3999999762</v>
      </c>
    </row>
    <row r="214" spans="1:16" ht="21.75" hidden="1" customHeight="1" outlineLevel="1" x14ac:dyDescent="0.25">
      <c r="A214" s="96"/>
      <c r="B214" s="250" t="s">
        <v>88</v>
      </c>
      <c r="C214" s="253" t="s">
        <v>11</v>
      </c>
      <c r="D214" s="253"/>
      <c r="E214" s="253" t="s">
        <v>153</v>
      </c>
      <c r="F214" s="85" t="s">
        <v>14</v>
      </c>
      <c r="G214" s="86">
        <f t="shared" ref="G214:M214" si="62">G215+G216+G217</f>
        <v>0</v>
      </c>
      <c r="H214" s="86">
        <f t="shared" si="62"/>
        <v>0</v>
      </c>
      <c r="I214" s="86">
        <f t="shared" si="62"/>
        <v>0</v>
      </c>
      <c r="J214" s="86">
        <f t="shared" si="62"/>
        <v>0</v>
      </c>
      <c r="K214" s="86">
        <f t="shared" si="62"/>
        <v>0</v>
      </c>
      <c r="L214" s="86">
        <f>L215+L216+L217</f>
        <v>0</v>
      </c>
      <c r="M214" s="86">
        <f t="shared" si="62"/>
        <v>0</v>
      </c>
      <c r="N214" s="259"/>
    </row>
    <row r="215" spans="1:16" ht="21.75" hidden="1" customHeight="1" outlineLevel="1" x14ac:dyDescent="0.25">
      <c r="A215" s="97" t="s">
        <v>89</v>
      </c>
      <c r="B215" s="251"/>
      <c r="C215" s="254"/>
      <c r="D215" s="254"/>
      <c r="E215" s="254"/>
      <c r="F215" s="85" t="s">
        <v>15</v>
      </c>
      <c r="G215" s="86">
        <f t="shared" si="60"/>
        <v>0</v>
      </c>
      <c r="H215" s="86">
        <v>0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259"/>
    </row>
    <row r="216" spans="1:16" ht="21.75" hidden="1" customHeight="1" outlineLevel="1" x14ac:dyDescent="0.25">
      <c r="A216" s="96"/>
      <c r="B216" s="251"/>
      <c r="C216" s="254"/>
      <c r="D216" s="254"/>
      <c r="E216" s="254"/>
      <c r="F216" s="85" t="s">
        <v>16</v>
      </c>
      <c r="G216" s="86">
        <f t="shared" si="60"/>
        <v>0</v>
      </c>
      <c r="H216" s="86">
        <v>0</v>
      </c>
      <c r="I216" s="86">
        <v>0</v>
      </c>
      <c r="J216" s="86">
        <v>0</v>
      </c>
      <c r="K216" s="86">
        <v>0</v>
      </c>
      <c r="L216" s="86">
        <v>0</v>
      </c>
      <c r="M216" s="86">
        <v>0</v>
      </c>
      <c r="N216" s="259"/>
    </row>
    <row r="217" spans="1:16" ht="21.75" hidden="1" customHeight="1" outlineLevel="1" x14ac:dyDescent="0.25">
      <c r="A217" s="96"/>
      <c r="B217" s="252"/>
      <c r="C217" s="255"/>
      <c r="D217" s="255"/>
      <c r="E217" s="255"/>
      <c r="F217" s="85" t="s">
        <v>17</v>
      </c>
      <c r="G217" s="86">
        <f t="shared" si="60"/>
        <v>0</v>
      </c>
      <c r="H217" s="86">
        <v>0</v>
      </c>
      <c r="I217" s="86">
        <v>0</v>
      </c>
      <c r="J217" s="86">
        <v>0</v>
      </c>
      <c r="K217" s="86">
        <v>0</v>
      </c>
      <c r="L217" s="86">
        <v>0</v>
      </c>
      <c r="M217" s="86">
        <v>0</v>
      </c>
      <c r="N217" s="259"/>
    </row>
    <row r="218" spans="1:16" ht="21.75" hidden="1" customHeight="1" outlineLevel="1" x14ac:dyDescent="0.25">
      <c r="A218" s="247" t="s">
        <v>91</v>
      </c>
      <c r="B218" s="250" t="s">
        <v>90</v>
      </c>
      <c r="C218" s="253" t="s">
        <v>11</v>
      </c>
      <c r="D218" s="253"/>
      <c r="E218" s="253" t="s">
        <v>153</v>
      </c>
      <c r="F218" s="85" t="s">
        <v>14</v>
      </c>
      <c r="G218" s="86">
        <f t="shared" ref="G218:M218" si="63">G219+G220+G221</f>
        <v>0</v>
      </c>
      <c r="H218" s="86">
        <f t="shared" si="63"/>
        <v>0</v>
      </c>
      <c r="I218" s="86">
        <f t="shared" si="63"/>
        <v>0</v>
      </c>
      <c r="J218" s="86">
        <f t="shared" si="63"/>
        <v>0</v>
      </c>
      <c r="K218" s="86">
        <f t="shared" si="63"/>
        <v>0</v>
      </c>
      <c r="L218" s="86">
        <f>L219+L220+L221</f>
        <v>0</v>
      </c>
      <c r="M218" s="86">
        <f t="shared" si="63"/>
        <v>0</v>
      </c>
      <c r="N218" s="259"/>
    </row>
    <row r="219" spans="1:16" ht="21.75" hidden="1" customHeight="1" outlineLevel="1" x14ac:dyDescent="0.25">
      <c r="A219" s="248"/>
      <c r="B219" s="251"/>
      <c r="C219" s="254"/>
      <c r="D219" s="254"/>
      <c r="E219" s="254"/>
      <c r="F219" s="85" t="s">
        <v>15</v>
      </c>
      <c r="G219" s="86">
        <f>H219+I219+J219+K219+M219</f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  <c r="M219" s="86">
        <v>0</v>
      </c>
      <c r="N219" s="259"/>
    </row>
    <row r="220" spans="1:16" ht="21.75" hidden="1" customHeight="1" outlineLevel="1" x14ac:dyDescent="0.25">
      <c r="A220" s="248"/>
      <c r="B220" s="251"/>
      <c r="C220" s="254"/>
      <c r="D220" s="254"/>
      <c r="E220" s="254"/>
      <c r="F220" s="85" t="s">
        <v>16</v>
      </c>
      <c r="G220" s="86">
        <f>H220+I220+J220+K220+M220</f>
        <v>0</v>
      </c>
      <c r="H220" s="86">
        <v>0</v>
      </c>
      <c r="I220" s="86">
        <v>0</v>
      </c>
      <c r="J220" s="86">
        <v>0</v>
      </c>
      <c r="K220" s="86">
        <v>0</v>
      </c>
      <c r="L220" s="86">
        <v>0</v>
      </c>
      <c r="M220" s="86">
        <v>0</v>
      </c>
      <c r="N220" s="259"/>
    </row>
    <row r="221" spans="1:16" ht="21.75" hidden="1" customHeight="1" outlineLevel="1" x14ac:dyDescent="0.25">
      <c r="A221" s="249"/>
      <c r="B221" s="252"/>
      <c r="C221" s="255"/>
      <c r="D221" s="255"/>
      <c r="E221" s="255"/>
      <c r="F221" s="85" t="s">
        <v>17</v>
      </c>
      <c r="G221" s="86">
        <f>H221+I221+J221+K221+M221</f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  <c r="M221" s="86">
        <v>0</v>
      </c>
      <c r="N221" s="259"/>
    </row>
    <row r="222" spans="1:16" ht="21.75" hidden="1" customHeight="1" outlineLevel="1" x14ac:dyDescent="0.25">
      <c r="A222" s="96"/>
      <c r="B222" s="250" t="s">
        <v>85</v>
      </c>
      <c r="C222" s="253" t="s">
        <v>11</v>
      </c>
      <c r="D222" s="253"/>
      <c r="E222" s="253" t="s">
        <v>153</v>
      </c>
      <c r="F222" s="85" t="s">
        <v>14</v>
      </c>
      <c r="G222" s="86">
        <f t="shared" ref="G222:M222" si="64">G223+G224+G225</f>
        <v>0</v>
      </c>
      <c r="H222" s="86">
        <f t="shared" si="64"/>
        <v>0</v>
      </c>
      <c r="I222" s="86">
        <f t="shared" si="64"/>
        <v>0</v>
      </c>
      <c r="J222" s="86">
        <f t="shared" si="64"/>
        <v>0</v>
      </c>
      <c r="K222" s="86">
        <f t="shared" si="64"/>
        <v>0</v>
      </c>
      <c r="L222" s="86">
        <f>L223+L224+L225</f>
        <v>0</v>
      </c>
      <c r="M222" s="86">
        <f t="shared" si="64"/>
        <v>0</v>
      </c>
      <c r="N222" s="259"/>
      <c r="P222" s="61"/>
    </row>
    <row r="223" spans="1:16" ht="21.75" hidden="1" customHeight="1" outlineLevel="1" x14ac:dyDescent="0.25">
      <c r="A223" s="96"/>
      <c r="B223" s="251"/>
      <c r="C223" s="254"/>
      <c r="D223" s="254"/>
      <c r="E223" s="254"/>
      <c r="F223" s="85" t="s">
        <v>15</v>
      </c>
      <c r="G223" s="86">
        <f>H223+I223+J223+K223+M223</f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0</v>
      </c>
      <c r="M223" s="86">
        <v>0</v>
      </c>
      <c r="N223" s="259"/>
      <c r="P223" s="61"/>
    </row>
    <row r="224" spans="1:16" ht="21.75" hidden="1" customHeight="1" outlineLevel="1" x14ac:dyDescent="0.25">
      <c r="A224" s="97" t="s">
        <v>122</v>
      </c>
      <c r="B224" s="251"/>
      <c r="C224" s="254"/>
      <c r="D224" s="254"/>
      <c r="E224" s="254"/>
      <c r="F224" s="85" t="s">
        <v>16</v>
      </c>
      <c r="G224" s="86">
        <f>H224+I224+J224+K224+M224</f>
        <v>0</v>
      </c>
      <c r="H224" s="86">
        <v>0</v>
      </c>
      <c r="I224" s="86">
        <v>0</v>
      </c>
      <c r="J224" s="86">
        <v>0</v>
      </c>
      <c r="K224" s="86">
        <v>0</v>
      </c>
      <c r="L224" s="86">
        <v>0</v>
      </c>
      <c r="M224" s="86">
        <v>0</v>
      </c>
      <c r="N224" s="259"/>
      <c r="P224" s="61"/>
    </row>
    <row r="225" spans="1:16" ht="21.75" hidden="1" customHeight="1" outlineLevel="1" x14ac:dyDescent="0.25">
      <c r="A225" s="96"/>
      <c r="B225" s="252"/>
      <c r="C225" s="255"/>
      <c r="D225" s="255"/>
      <c r="E225" s="255"/>
      <c r="F225" s="85" t="s">
        <v>17</v>
      </c>
      <c r="G225" s="86">
        <f>H225+I225+J225+K225+M225</f>
        <v>0</v>
      </c>
      <c r="H225" s="86">
        <v>0</v>
      </c>
      <c r="I225" s="86">
        <v>0</v>
      </c>
      <c r="J225" s="86">
        <v>0</v>
      </c>
      <c r="K225" s="86">
        <v>0</v>
      </c>
      <c r="L225" s="86">
        <v>0</v>
      </c>
      <c r="M225" s="86">
        <v>0</v>
      </c>
      <c r="N225" s="284"/>
      <c r="P225" s="61"/>
    </row>
    <row r="226" spans="1:16" ht="21.75" customHeight="1" collapsed="1" x14ac:dyDescent="0.25">
      <c r="A226" s="238"/>
      <c r="B226" s="241" t="s">
        <v>141</v>
      </c>
      <c r="C226" s="244" t="s">
        <v>11</v>
      </c>
      <c r="D226" s="279" t="s">
        <v>93</v>
      </c>
      <c r="E226" s="244" t="s">
        <v>153</v>
      </c>
      <c r="F226" s="79" t="s">
        <v>14</v>
      </c>
      <c r="G226" s="80">
        <f t="shared" ref="G226:M226" si="65">G227+G228+G229</f>
        <v>23699651.289999999</v>
      </c>
      <c r="H226" s="80">
        <f t="shared" si="65"/>
        <v>1942784.25</v>
      </c>
      <c r="I226" s="80">
        <f t="shared" si="65"/>
        <v>4335490.6399999997</v>
      </c>
      <c r="J226" s="80">
        <f t="shared" si="65"/>
        <v>5072468.2399999993</v>
      </c>
      <c r="K226" s="80">
        <f t="shared" si="65"/>
        <v>6471604.9199999999</v>
      </c>
      <c r="L226" s="80">
        <f>L227+L228+L229</f>
        <v>5670475.4000000004</v>
      </c>
      <c r="M226" s="80">
        <f t="shared" si="65"/>
        <v>5877303.2400000002</v>
      </c>
      <c r="N226" s="274"/>
    </row>
    <row r="227" spans="1:16" ht="21.75" customHeight="1" x14ac:dyDescent="0.25">
      <c r="A227" s="239"/>
      <c r="B227" s="242"/>
      <c r="C227" s="245"/>
      <c r="D227" s="245"/>
      <c r="E227" s="245"/>
      <c r="F227" s="79" t="s">
        <v>133</v>
      </c>
      <c r="G227" s="80">
        <f>H227+I227+J227+K227+M227</f>
        <v>3937369.86</v>
      </c>
      <c r="H227" s="80">
        <f t="shared" ref="H227:I229" si="66">H231+H235+H239+H247+H243</f>
        <v>1742784.25</v>
      </c>
      <c r="I227" s="80">
        <f>I231+I235+I239+I247+I243</f>
        <v>722529.92999999993</v>
      </c>
      <c r="J227" s="80">
        <f t="shared" ref="J227:M229" si="67">J231+J235+J239+J247+J243</f>
        <v>472055.68</v>
      </c>
      <c r="K227" s="80">
        <f t="shared" si="67"/>
        <v>500000</v>
      </c>
      <c r="L227" s="80">
        <f>L231+L235+L239+L247+L243</f>
        <v>500000</v>
      </c>
      <c r="M227" s="80">
        <f t="shared" si="67"/>
        <v>500000</v>
      </c>
      <c r="N227" s="275"/>
    </row>
    <row r="228" spans="1:16" ht="21.75" customHeight="1" x14ac:dyDescent="0.25">
      <c r="A228" s="239"/>
      <c r="B228" s="242"/>
      <c r="C228" s="245"/>
      <c r="D228" s="245"/>
      <c r="E228" s="245"/>
      <c r="F228" s="79" t="s">
        <v>16</v>
      </c>
      <c r="G228" s="80">
        <f>H228+I228+J228+K228+M228</f>
        <v>19762281.43</v>
      </c>
      <c r="H228" s="80">
        <f t="shared" si="66"/>
        <v>200000</v>
      </c>
      <c r="I228" s="80">
        <f t="shared" si="66"/>
        <v>3612960.71</v>
      </c>
      <c r="J228" s="80">
        <f t="shared" si="67"/>
        <v>4600412.5599999996</v>
      </c>
      <c r="K228" s="80">
        <f t="shared" si="67"/>
        <v>5971604.9199999999</v>
      </c>
      <c r="L228" s="80">
        <f>L232+L236+L240+L248+L244</f>
        <v>5170475.4000000004</v>
      </c>
      <c r="M228" s="80">
        <f t="shared" si="67"/>
        <v>5377303.2400000002</v>
      </c>
      <c r="N228" s="275"/>
    </row>
    <row r="229" spans="1:16" ht="21.75" customHeight="1" x14ac:dyDescent="0.25">
      <c r="A229" s="240"/>
      <c r="B229" s="243"/>
      <c r="C229" s="246"/>
      <c r="D229" s="246"/>
      <c r="E229" s="246"/>
      <c r="F229" s="79" t="s">
        <v>17</v>
      </c>
      <c r="G229" s="80">
        <f>H229+I229+J229+K229+M229</f>
        <v>0</v>
      </c>
      <c r="H229" s="80">
        <f t="shared" si="66"/>
        <v>0</v>
      </c>
      <c r="I229" s="80">
        <f t="shared" si="66"/>
        <v>0</v>
      </c>
      <c r="J229" s="80">
        <f t="shared" si="67"/>
        <v>0</v>
      </c>
      <c r="K229" s="80">
        <f t="shared" si="67"/>
        <v>0</v>
      </c>
      <c r="L229" s="80">
        <f>L233+L237+L241+L249+L245</f>
        <v>0</v>
      </c>
      <c r="M229" s="80">
        <f t="shared" si="67"/>
        <v>0</v>
      </c>
      <c r="N229" s="276"/>
    </row>
    <row r="230" spans="1:16" ht="21.75" customHeight="1" x14ac:dyDescent="0.25">
      <c r="A230" s="247" t="s">
        <v>18</v>
      </c>
      <c r="B230" s="250" t="s">
        <v>138</v>
      </c>
      <c r="C230" s="253" t="s">
        <v>11</v>
      </c>
      <c r="D230" s="268" t="s">
        <v>95</v>
      </c>
      <c r="E230" s="253" t="s">
        <v>153</v>
      </c>
      <c r="F230" s="85" t="s">
        <v>14</v>
      </c>
      <c r="G230" s="86">
        <f t="shared" ref="G230:M230" si="68">G231+G232+G233</f>
        <v>2525881.79</v>
      </c>
      <c r="H230" s="86">
        <f t="shared" si="68"/>
        <v>1426776.79</v>
      </c>
      <c r="I230" s="86">
        <f t="shared" si="68"/>
        <v>0</v>
      </c>
      <c r="J230" s="87">
        <f t="shared" si="68"/>
        <v>50969</v>
      </c>
      <c r="K230" s="86">
        <f t="shared" si="68"/>
        <v>1024068</v>
      </c>
      <c r="L230" s="86">
        <f>L231+L232+L233</f>
        <v>24068</v>
      </c>
      <c r="M230" s="86">
        <f t="shared" si="68"/>
        <v>24068</v>
      </c>
      <c r="N230" s="277" t="s">
        <v>150</v>
      </c>
    </row>
    <row r="231" spans="1:16" ht="21.75" customHeight="1" x14ac:dyDescent="0.25">
      <c r="A231" s="248"/>
      <c r="B231" s="251"/>
      <c r="C231" s="254"/>
      <c r="D231" s="269"/>
      <c r="E231" s="254"/>
      <c r="F231" s="85" t="s">
        <v>133</v>
      </c>
      <c r="G231" s="86">
        <f>H231+I231+J231+K231+M231</f>
        <v>1525881.79</v>
      </c>
      <c r="H231" s="86">
        <f>76776.79+1000000+350000</f>
        <v>1426776.79</v>
      </c>
      <c r="I231" s="86">
        <v>0</v>
      </c>
      <c r="J231" s="87">
        <f>'[9]2022 год'!$D$15+'[9]2022 год'!$E$19</f>
        <v>50969</v>
      </c>
      <c r="K231" s="86">
        <v>24068</v>
      </c>
      <c r="L231" s="86">
        <v>24068</v>
      </c>
      <c r="M231" s="86">
        <v>24068</v>
      </c>
      <c r="N231" s="278"/>
    </row>
    <row r="232" spans="1:16" ht="21.75" customHeight="1" x14ac:dyDescent="0.25">
      <c r="A232" s="248"/>
      <c r="B232" s="251"/>
      <c r="C232" s="254"/>
      <c r="D232" s="269"/>
      <c r="E232" s="254"/>
      <c r="F232" s="85" t="s">
        <v>16</v>
      </c>
      <c r="G232" s="86">
        <f>H232+I232+J232+K232+M232</f>
        <v>1000000</v>
      </c>
      <c r="H232" s="86">
        <v>0</v>
      </c>
      <c r="I232" s="86">
        <v>0</v>
      </c>
      <c r="J232" s="87">
        <v>0</v>
      </c>
      <c r="K232" s="86">
        <v>1000000</v>
      </c>
      <c r="L232" s="86">
        <v>0</v>
      </c>
      <c r="M232" s="86">
        <v>0</v>
      </c>
      <c r="N232" s="278"/>
    </row>
    <row r="233" spans="1:16" ht="21.75" customHeight="1" x14ac:dyDescent="0.25">
      <c r="A233" s="249"/>
      <c r="B233" s="252"/>
      <c r="C233" s="254"/>
      <c r="D233" s="270"/>
      <c r="E233" s="255"/>
      <c r="F233" s="85" t="s">
        <v>17</v>
      </c>
      <c r="G233" s="86">
        <f>H233+I233+J233+K233+M233</f>
        <v>0</v>
      </c>
      <c r="H233" s="86">
        <v>0</v>
      </c>
      <c r="I233" s="86">
        <v>0</v>
      </c>
      <c r="J233" s="87">
        <v>0</v>
      </c>
      <c r="K233" s="86">
        <v>0</v>
      </c>
      <c r="L233" s="86">
        <v>0</v>
      </c>
      <c r="M233" s="86">
        <v>0</v>
      </c>
      <c r="N233" s="278"/>
    </row>
    <row r="234" spans="1:16" ht="21.75" customHeight="1" x14ac:dyDescent="0.25">
      <c r="A234" s="247" t="s">
        <v>78</v>
      </c>
      <c r="B234" s="250" t="s">
        <v>96</v>
      </c>
      <c r="C234" s="253" t="s">
        <v>11</v>
      </c>
      <c r="D234" s="268" t="s">
        <v>93</v>
      </c>
      <c r="E234" s="253" t="s">
        <v>153</v>
      </c>
      <c r="F234" s="85" t="s">
        <v>14</v>
      </c>
      <c r="G234" s="86">
        <f t="shared" ref="G234:M234" si="69">G235+G236+G237</f>
        <v>1493382.4000000001</v>
      </c>
      <c r="H234" s="86">
        <f t="shared" si="69"/>
        <v>199970.46</v>
      </c>
      <c r="I234" s="86">
        <f t="shared" si="69"/>
        <v>422529.93</v>
      </c>
      <c r="J234" s="87">
        <f t="shared" si="69"/>
        <v>279313.93</v>
      </c>
      <c r="K234" s="86">
        <f t="shared" si="69"/>
        <v>295784.03999999998</v>
      </c>
      <c r="L234" s="86">
        <f>L235+L236+L237</f>
        <v>295784.03999999998</v>
      </c>
      <c r="M234" s="86">
        <f t="shared" si="69"/>
        <v>295784.03999999998</v>
      </c>
      <c r="N234" s="278"/>
    </row>
    <row r="235" spans="1:16" ht="21.75" customHeight="1" x14ac:dyDescent="0.25">
      <c r="A235" s="248"/>
      <c r="B235" s="251"/>
      <c r="C235" s="254"/>
      <c r="D235" s="269"/>
      <c r="E235" s="254"/>
      <c r="F235" s="85" t="s">
        <v>133</v>
      </c>
      <c r="G235" s="86">
        <f>H235+I235+J235+K235+M235</f>
        <v>1493382.4000000001</v>
      </c>
      <c r="H235" s="86">
        <f>190170.46+9800</f>
        <v>199970.46</v>
      </c>
      <c r="I235" s="86">
        <v>422529.93</v>
      </c>
      <c r="J235" s="87">
        <f>'[9]2022 год'!$C$20+'[9]2022 год'!$F$20-27944.32</f>
        <v>279313.93</v>
      </c>
      <c r="K235" s="86">
        <v>295784.03999999998</v>
      </c>
      <c r="L235" s="86">
        <v>295784.03999999998</v>
      </c>
      <c r="M235" s="86">
        <v>295784.03999999998</v>
      </c>
      <c r="N235" s="278"/>
    </row>
    <row r="236" spans="1:16" ht="21.75" customHeight="1" x14ac:dyDescent="0.25">
      <c r="A236" s="248"/>
      <c r="B236" s="251"/>
      <c r="C236" s="254"/>
      <c r="D236" s="269"/>
      <c r="E236" s="254"/>
      <c r="F236" s="85" t="s">
        <v>16</v>
      </c>
      <c r="G236" s="86">
        <f>H236+I236+J236+K236+M236</f>
        <v>0</v>
      </c>
      <c r="H236" s="86">
        <v>0</v>
      </c>
      <c r="I236" s="86">
        <v>0</v>
      </c>
      <c r="J236" s="87">
        <v>0</v>
      </c>
      <c r="K236" s="86">
        <v>0</v>
      </c>
      <c r="L236" s="86">
        <v>0</v>
      </c>
      <c r="M236" s="86">
        <v>0</v>
      </c>
      <c r="N236" s="278"/>
    </row>
    <row r="237" spans="1:16" ht="21.75" customHeight="1" x14ac:dyDescent="0.25">
      <c r="A237" s="249"/>
      <c r="B237" s="252"/>
      <c r="C237" s="254"/>
      <c r="D237" s="270"/>
      <c r="E237" s="255"/>
      <c r="F237" s="85" t="s">
        <v>17</v>
      </c>
      <c r="G237" s="86">
        <f>H237+I237+J237+K237+M237</f>
        <v>0</v>
      </c>
      <c r="H237" s="86">
        <v>0</v>
      </c>
      <c r="I237" s="86">
        <v>0</v>
      </c>
      <c r="J237" s="87">
        <v>0</v>
      </c>
      <c r="K237" s="86">
        <v>0</v>
      </c>
      <c r="L237" s="86">
        <v>0</v>
      </c>
      <c r="M237" s="86">
        <v>0</v>
      </c>
      <c r="N237" s="278"/>
    </row>
    <row r="238" spans="1:16" ht="21.75" customHeight="1" x14ac:dyDescent="0.25">
      <c r="A238" s="247" t="s">
        <v>81</v>
      </c>
      <c r="B238" s="250" t="s">
        <v>97</v>
      </c>
      <c r="C238" s="253" t="s">
        <v>11</v>
      </c>
      <c r="D238" s="268" t="s">
        <v>42</v>
      </c>
      <c r="E238" s="253" t="s">
        <v>153</v>
      </c>
      <c r="F238" s="85" t="s">
        <v>14</v>
      </c>
      <c r="G238" s="86">
        <f t="shared" ref="G238:M238" si="70">G239+G240+G241</f>
        <v>0</v>
      </c>
      <c r="H238" s="86">
        <f t="shared" si="70"/>
        <v>0</v>
      </c>
      <c r="I238" s="86">
        <f t="shared" si="70"/>
        <v>0</v>
      </c>
      <c r="J238" s="87">
        <f t="shared" si="70"/>
        <v>0</v>
      </c>
      <c r="K238" s="86">
        <f t="shared" si="70"/>
        <v>0</v>
      </c>
      <c r="L238" s="86">
        <f>L239+L240+L241</f>
        <v>0</v>
      </c>
      <c r="M238" s="86">
        <f t="shared" si="70"/>
        <v>0</v>
      </c>
      <c r="N238" s="278"/>
    </row>
    <row r="239" spans="1:16" ht="21.75" customHeight="1" x14ac:dyDescent="0.25">
      <c r="A239" s="248"/>
      <c r="B239" s="251"/>
      <c r="C239" s="254"/>
      <c r="D239" s="269"/>
      <c r="E239" s="254"/>
      <c r="F239" s="85" t="s">
        <v>133</v>
      </c>
      <c r="G239" s="86">
        <f>H239+I239+J239+K239+M239</f>
        <v>0</v>
      </c>
      <c r="H239" s="86">
        <v>0</v>
      </c>
      <c r="I239" s="86">
        <v>0</v>
      </c>
      <c r="J239" s="87">
        <v>0</v>
      </c>
      <c r="K239" s="86"/>
      <c r="L239" s="86">
        <v>0</v>
      </c>
      <c r="M239" s="86">
        <v>0</v>
      </c>
      <c r="N239" s="278"/>
    </row>
    <row r="240" spans="1:16" ht="21.75" customHeight="1" x14ac:dyDescent="0.25">
      <c r="A240" s="248"/>
      <c r="B240" s="251"/>
      <c r="C240" s="254"/>
      <c r="D240" s="269"/>
      <c r="E240" s="254"/>
      <c r="F240" s="85" t="s">
        <v>16</v>
      </c>
      <c r="G240" s="86">
        <f>H240+I240+J240+K240+M240</f>
        <v>0</v>
      </c>
      <c r="H240" s="86">
        <v>0</v>
      </c>
      <c r="I240" s="86">
        <v>0</v>
      </c>
      <c r="J240" s="87">
        <v>0</v>
      </c>
      <c r="K240" s="86">
        <v>0</v>
      </c>
      <c r="L240" s="86">
        <v>0</v>
      </c>
      <c r="M240" s="86">
        <v>0</v>
      </c>
      <c r="N240" s="278"/>
    </row>
    <row r="241" spans="1:14" ht="21.75" customHeight="1" x14ac:dyDescent="0.25">
      <c r="A241" s="249"/>
      <c r="B241" s="252"/>
      <c r="C241" s="254"/>
      <c r="D241" s="270"/>
      <c r="E241" s="255"/>
      <c r="F241" s="85" t="s">
        <v>17</v>
      </c>
      <c r="G241" s="86">
        <f>H241+I241+J241+K241+M241</f>
        <v>0</v>
      </c>
      <c r="H241" s="86">
        <v>0</v>
      </c>
      <c r="I241" s="86">
        <v>0</v>
      </c>
      <c r="J241" s="87">
        <v>0</v>
      </c>
      <c r="K241" s="86">
        <v>0</v>
      </c>
      <c r="L241" s="86">
        <v>0</v>
      </c>
      <c r="M241" s="86">
        <v>0</v>
      </c>
      <c r="N241" s="278"/>
    </row>
    <row r="242" spans="1:14" ht="21.75" customHeight="1" x14ac:dyDescent="0.25">
      <c r="A242" s="247" t="s">
        <v>94</v>
      </c>
      <c r="B242" s="250" t="s">
        <v>98</v>
      </c>
      <c r="C242" s="253" t="s">
        <v>11</v>
      </c>
      <c r="D242" s="268" t="s">
        <v>99</v>
      </c>
      <c r="E242" s="253" t="s">
        <v>153</v>
      </c>
      <c r="F242" s="85" t="s">
        <v>14</v>
      </c>
      <c r="G242" s="86">
        <f t="shared" ref="G242:M242" si="71">G243+G244+G245</f>
        <v>1439105.67</v>
      </c>
      <c r="H242" s="86">
        <f t="shared" si="71"/>
        <v>316037</v>
      </c>
      <c r="I242" s="86">
        <f t="shared" si="71"/>
        <v>390000</v>
      </c>
      <c r="J242" s="87">
        <f t="shared" si="71"/>
        <v>372772.75</v>
      </c>
      <c r="K242" s="86">
        <f t="shared" si="71"/>
        <v>180147.96</v>
      </c>
      <c r="L242" s="86">
        <f>L243+L244+L245</f>
        <v>180147.96</v>
      </c>
      <c r="M242" s="86">
        <f t="shared" si="71"/>
        <v>180147.96</v>
      </c>
      <c r="N242" s="278"/>
    </row>
    <row r="243" spans="1:14" ht="21.75" customHeight="1" x14ac:dyDescent="0.25">
      <c r="A243" s="248"/>
      <c r="B243" s="251"/>
      <c r="C243" s="254"/>
      <c r="D243" s="269"/>
      <c r="E243" s="254"/>
      <c r="F243" s="85" t="s">
        <v>133</v>
      </c>
      <c r="G243" s="86">
        <f>H243+I243+J243+K243+M243</f>
        <v>718105.66999999993</v>
      </c>
      <c r="H243" s="86">
        <v>116037</v>
      </c>
      <c r="I243" s="86">
        <f>157703.92-57703.92</f>
        <v>100000.00000000001</v>
      </c>
      <c r="J243" s="87">
        <f>110000+'[9]2022 год'!$D$19</f>
        <v>141772.75</v>
      </c>
      <c r="K243" s="86">
        <v>180147.96</v>
      </c>
      <c r="L243" s="86">
        <v>180147.96</v>
      </c>
      <c r="M243" s="86">
        <v>180147.96</v>
      </c>
      <c r="N243" s="278"/>
    </row>
    <row r="244" spans="1:14" ht="21.75" customHeight="1" x14ac:dyDescent="0.25">
      <c r="A244" s="248"/>
      <c r="B244" s="251"/>
      <c r="C244" s="254"/>
      <c r="D244" s="269"/>
      <c r="E244" s="254"/>
      <c r="F244" s="85" t="s">
        <v>16</v>
      </c>
      <c r="G244" s="86">
        <f>H244+I244+J244+K244+M244</f>
        <v>721000</v>
      </c>
      <c r="H244" s="86">
        <v>200000</v>
      </c>
      <c r="I244" s="86">
        <v>290000</v>
      </c>
      <c r="J244" s="87">
        <v>231000</v>
      </c>
      <c r="K244" s="86">
        <v>0</v>
      </c>
      <c r="L244" s="86">
        <v>0</v>
      </c>
      <c r="M244" s="86">
        <v>0</v>
      </c>
      <c r="N244" s="278"/>
    </row>
    <row r="245" spans="1:14" ht="21.75" customHeight="1" x14ac:dyDescent="0.25">
      <c r="A245" s="249"/>
      <c r="B245" s="252"/>
      <c r="C245" s="254"/>
      <c r="D245" s="270"/>
      <c r="E245" s="255"/>
      <c r="F245" s="85" t="s">
        <v>17</v>
      </c>
      <c r="G245" s="86">
        <f>H245+I245+J245+K245+M245</f>
        <v>0</v>
      </c>
      <c r="H245" s="86">
        <v>0</v>
      </c>
      <c r="I245" s="86">
        <v>0</v>
      </c>
      <c r="J245" s="87">
        <v>0</v>
      </c>
      <c r="K245" s="86">
        <v>0</v>
      </c>
      <c r="L245" s="86">
        <v>0</v>
      </c>
      <c r="M245" s="86">
        <v>0</v>
      </c>
      <c r="N245" s="278"/>
    </row>
    <row r="246" spans="1:14" ht="21.75" customHeight="1" x14ac:dyDescent="0.25">
      <c r="A246" s="247" t="s">
        <v>102</v>
      </c>
      <c r="B246" s="250" t="s">
        <v>100</v>
      </c>
      <c r="C246" s="253" t="s">
        <v>11</v>
      </c>
      <c r="D246" s="268" t="s">
        <v>101</v>
      </c>
      <c r="E246" s="253" t="s">
        <v>153</v>
      </c>
      <c r="F246" s="85" t="s">
        <v>14</v>
      </c>
      <c r="G246" s="86">
        <f t="shared" ref="G246:M246" si="72">G247+G248+G249</f>
        <v>18241281.43</v>
      </c>
      <c r="H246" s="86">
        <f t="shared" si="72"/>
        <v>0</v>
      </c>
      <c r="I246" s="86">
        <f t="shared" si="72"/>
        <v>3522960.71</v>
      </c>
      <c r="J246" s="87">
        <f t="shared" si="72"/>
        <v>4369412.5599999996</v>
      </c>
      <c r="K246" s="86">
        <f t="shared" si="72"/>
        <v>4971604.92</v>
      </c>
      <c r="L246" s="86">
        <f>L247+L248+L249</f>
        <v>5170475.4000000004</v>
      </c>
      <c r="M246" s="86">
        <f t="shared" si="72"/>
        <v>5377303.2400000002</v>
      </c>
      <c r="N246" s="278"/>
    </row>
    <row r="247" spans="1:14" ht="21.75" customHeight="1" x14ac:dyDescent="0.25">
      <c r="A247" s="248"/>
      <c r="B247" s="251"/>
      <c r="C247" s="254"/>
      <c r="D247" s="269"/>
      <c r="E247" s="254"/>
      <c r="F247" s="85" t="s">
        <v>133</v>
      </c>
      <c r="G247" s="86">
        <f>H247+I247+J247+K247+M247</f>
        <v>200000</v>
      </c>
      <c r="H247" s="86">
        <v>0</v>
      </c>
      <c r="I247" s="86">
        <f>200000+572400-572400</f>
        <v>200000</v>
      </c>
      <c r="J247" s="87">
        <v>0</v>
      </c>
      <c r="K247" s="86">
        <v>0</v>
      </c>
      <c r="L247" s="86">
        <v>0</v>
      </c>
      <c r="M247" s="86">
        <v>0</v>
      </c>
      <c r="N247" s="278"/>
    </row>
    <row r="248" spans="1:14" ht="21.75" customHeight="1" x14ac:dyDescent="0.25">
      <c r="A248" s="248"/>
      <c r="B248" s="251"/>
      <c r="C248" s="254"/>
      <c r="D248" s="269"/>
      <c r="E248" s="254"/>
      <c r="F248" s="85" t="s">
        <v>16</v>
      </c>
      <c r="G248" s="86">
        <f>H248+I248+J248+K248+M248</f>
        <v>18041281.43</v>
      </c>
      <c r="H248" s="86">
        <v>0</v>
      </c>
      <c r="I248" s="86">
        <f>4922960.71-1600000</f>
        <v>3322960.71</v>
      </c>
      <c r="J248" s="87">
        <v>4369412.5599999996</v>
      </c>
      <c r="K248" s="86">
        <v>4971604.92</v>
      </c>
      <c r="L248" s="86">
        <v>5170475.4000000004</v>
      </c>
      <c r="M248" s="86">
        <v>5377303.2400000002</v>
      </c>
      <c r="N248" s="278"/>
    </row>
    <row r="249" spans="1:14" ht="21.75" customHeight="1" x14ac:dyDescent="0.25">
      <c r="A249" s="249"/>
      <c r="B249" s="252"/>
      <c r="C249" s="254"/>
      <c r="D249" s="270"/>
      <c r="E249" s="255"/>
      <c r="F249" s="85" t="s">
        <v>17</v>
      </c>
      <c r="G249" s="86">
        <f>H249+I249+J249+K249+M249</f>
        <v>0</v>
      </c>
      <c r="H249" s="86">
        <v>0</v>
      </c>
      <c r="I249" s="86">
        <v>0</v>
      </c>
      <c r="J249" s="86">
        <v>0</v>
      </c>
      <c r="K249" s="86">
        <v>0</v>
      </c>
      <c r="L249" s="86">
        <v>0</v>
      </c>
      <c r="M249" s="86">
        <v>0</v>
      </c>
      <c r="N249" s="278"/>
    </row>
    <row r="250" spans="1:14" ht="21.75" customHeight="1" x14ac:dyDescent="0.25">
      <c r="A250" s="238"/>
      <c r="B250" s="241" t="s">
        <v>142</v>
      </c>
      <c r="C250" s="244" t="s">
        <v>11</v>
      </c>
      <c r="D250" s="271" t="s">
        <v>42</v>
      </c>
      <c r="E250" s="244" t="s">
        <v>153</v>
      </c>
      <c r="F250" s="79" t="s">
        <v>14</v>
      </c>
      <c r="G250" s="80">
        <f t="shared" ref="G250:M250" si="73">G251+G252+G253</f>
        <v>4640995.75</v>
      </c>
      <c r="H250" s="80">
        <f t="shared" si="73"/>
        <v>600000</v>
      </c>
      <c r="I250" s="80">
        <f t="shared" si="73"/>
        <v>557000</v>
      </c>
      <c r="J250" s="80">
        <f t="shared" si="73"/>
        <v>550591.55000000005</v>
      </c>
      <c r="K250" s="80">
        <f t="shared" si="73"/>
        <v>1466702.1</v>
      </c>
      <c r="L250" s="80">
        <f>L251+L252+L253</f>
        <v>1466702.1</v>
      </c>
      <c r="M250" s="80">
        <f t="shared" si="73"/>
        <v>1466702.1</v>
      </c>
      <c r="N250" s="274"/>
    </row>
    <row r="251" spans="1:14" ht="21.75" customHeight="1" x14ac:dyDescent="0.25">
      <c r="A251" s="239"/>
      <c r="B251" s="242"/>
      <c r="C251" s="245"/>
      <c r="D251" s="272"/>
      <c r="E251" s="245"/>
      <c r="F251" s="79" t="s">
        <v>133</v>
      </c>
      <c r="G251" s="80">
        <f>H251+I251+J251+K251+M251</f>
        <v>4640995.75</v>
      </c>
      <c r="H251" s="80">
        <f t="shared" ref="H251:M253" si="74">H255+H263+H279+H283+H259+H267+H271+H275</f>
        <v>600000</v>
      </c>
      <c r="I251" s="80">
        <f t="shared" si="74"/>
        <v>557000</v>
      </c>
      <c r="J251" s="80">
        <f t="shared" si="74"/>
        <v>550591.55000000005</v>
      </c>
      <c r="K251" s="80">
        <f t="shared" si="74"/>
        <v>1466702.1</v>
      </c>
      <c r="L251" s="80">
        <f t="shared" si="74"/>
        <v>1466702.1</v>
      </c>
      <c r="M251" s="80">
        <f t="shared" si="74"/>
        <v>1466702.1</v>
      </c>
      <c r="N251" s="275"/>
    </row>
    <row r="252" spans="1:14" ht="21.75" customHeight="1" x14ac:dyDescent="0.25">
      <c r="A252" s="239"/>
      <c r="B252" s="242"/>
      <c r="C252" s="245"/>
      <c r="D252" s="272"/>
      <c r="E252" s="245"/>
      <c r="F252" s="79" t="s">
        <v>16</v>
      </c>
      <c r="G252" s="80">
        <f>H252+I252+J252+K252+M252</f>
        <v>0</v>
      </c>
      <c r="H252" s="80">
        <f t="shared" si="74"/>
        <v>0</v>
      </c>
      <c r="I252" s="80">
        <f t="shared" si="74"/>
        <v>0</v>
      </c>
      <c r="J252" s="80">
        <f t="shared" si="74"/>
        <v>0</v>
      </c>
      <c r="K252" s="80">
        <f t="shared" si="74"/>
        <v>0</v>
      </c>
      <c r="L252" s="80">
        <f t="shared" si="74"/>
        <v>0</v>
      </c>
      <c r="M252" s="80">
        <f t="shared" si="74"/>
        <v>0</v>
      </c>
      <c r="N252" s="275"/>
    </row>
    <row r="253" spans="1:14" ht="21.75" customHeight="1" x14ac:dyDescent="0.25">
      <c r="A253" s="240"/>
      <c r="B253" s="243"/>
      <c r="C253" s="246"/>
      <c r="D253" s="273"/>
      <c r="E253" s="246"/>
      <c r="F253" s="79" t="s">
        <v>17</v>
      </c>
      <c r="G253" s="80">
        <f>H253+I253+J253+K253+M253</f>
        <v>0</v>
      </c>
      <c r="H253" s="80">
        <f t="shared" si="74"/>
        <v>0</v>
      </c>
      <c r="I253" s="80">
        <f t="shared" si="74"/>
        <v>0</v>
      </c>
      <c r="J253" s="80">
        <f t="shared" si="74"/>
        <v>0</v>
      </c>
      <c r="K253" s="80">
        <f t="shared" si="74"/>
        <v>0</v>
      </c>
      <c r="L253" s="80">
        <f t="shared" si="74"/>
        <v>0</v>
      </c>
      <c r="M253" s="80">
        <f t="shared" si="74"/>
        <v>0</v>
      </c>
      <c r="N253" s="276"/>
    </row>
    <row r="254" spans="1:14" ht="21.75" customHeight="1" x14ac:dyDescent="0.25">
      <c r="A254" s="247" t="s">
        <v>18</v>
      </c>
      <c r="B254" s="250" t="s">
        <v>104</v>
      </c>
      <c r="C254" s="253" t="s">
        <v>11</v>
      </c>
      <c r="D254" s="268" t="s">
        <v>42</v>
      </c>
      <c r="E254" s="253" t="s">
        <v>153</v>
      </c>
      <c r="F254" s="85" t="s">
        <v>14</v>
      </c>
      <c r="G254" s="86">
        <f t="shared" ref="G254:M254" si="75">G255+G256+G257</f>
        <v>952762.74</v>
      </c>
      <c r="H254" s="86">
        <f t="shared" si="75"/>
        <v>235000</v>
      </c>
      <c r="I254" s="86">
        <f t="shared" si="75"/>
        <v>197749.8</v>
      </c>
      <c r="J254" s="86">
        <f t="shared" si="75"/>
        <v>196012.94</v>
      </c>
      <c r="K254" s="86">
        <f t="shared" si="75"/>
        <v>162000</v>
      </c>
      <c r="L254" s="86">
        <f>L255+L256+L257</f>
        <v>162000</v>
      </c>
      <c r="M254" s="86">
        <f t="shared" si="75"/>
        <v>162000</v>
      </c>
      <c r="N254" s="260" t="s">
        <v>151</v>
      </c>
    </row>
    <row r="255" spans="1:14" ht="21.75" customHeight="1" x14ac:dyDescent="0.25">
      <c r="A255" s="248"/>
      <c r="B255" s="251"/>
      <c r="C255" s="254"/>
      <c r="D255" s="269"/>
      <c r="E255" s="254"/>
      <c r="F255" s="85" t="s">
        <v>133</v>
      </c>
      <c r="G255" s="86">
        <f>H255+I255+J255+K255+M255</f>
        <v>952762.74</v>
      </c>
      <c r="H255" s="86">
        <v>235000</v>
      </c>
      <c r="I255" s="86">
        <f>252000-I263-4250.2</f>
        <v>197749.8</v>
      </c>
      <c r="J255" s="86">
        <f>202000+[10]ИЦ!$F$19</f>
        <v>196012.94</v>
      </c>
      <c r="K255" s="86">
        <v>162000</v>
      </c>
      <c r="L255" s="86">
        <v>162000</v>
      </c>
      <c r="M255" s="86">
        <v>162000</v>
      </c>
      <c r="N255" s="260"/>
    </row>
    <row r="256" spans="1:14" ht="21.75" customHeight="1" x14ac:dyDescent="0.25">
      <c r="A256" s="248"/>
      <c r="B256" s="251"/>
      <c r="C256" s="254"/>
      <c r="D256" s="269"/>
      <c r="E256" s="254"/>
      <c r="F256" s="85" t="s">
        <v>16</v>
      </c>
      <c r="G256" s="86">
        <f>H256+I256+J256+K256+M256</f>
        <v>0</v>
      </c>
      <c r="H256" s="86">
        <v>0</v>
      </c>
      <c r="I256" s="86">
        <v>0</v>
      </c>
      <c r="J256" s="86">
        <v>0</v>
      </c>
      <c r="K256" s="86">
        <v>0</v>
      </c>
      <c r="L256" s="86">
        <v>0</v>
      </c>
      <c r="M256" s="86">
        <v>0</v>
      </c>
      <c r="N256" s="260"/>
    </row>
    <row r="257" spans="1:14" ht="21.75" customHeight="1" x14ac:dyDescent="0.25">
      <c r="A257" s="249"/>
      <c r="B257" s="252"/>
      <c r="C257" s="254"/>
      <c r="D257" s="270"/>
      <c r="E257" s="255"/>
      <c r="F257" s="85" t="s">
        <v>17</v>
      </c>
      <c r="G257" s="86">
        <f>H257+I257+J257+K257+M257</f>
        <v>0</v>
      </c>
      <c r="H257" s="86">
        <v>0</v>
      </c>
      <c r="I257" s="86">
        <v>0</v>
      </c>
      <c r="J257" s="86">
        <v>0</v>
      </c>
      <c r="K257" s="86">
        <v>0</v>
      </c>
      <c r="L257" s="86">
        <v>0</v>
      </c>
      <c r="M257" s="86">
        <v>0</v>
      </c>
      <c r="N257" s="260"/>
    </row>
    <row r="258" spans="1:14" ht="21.75" customHeight="1" x14ac:dyDescent="0.25">
      <c r="A258" s="253" t="s">
        <v>25</v>
      </c>
      <c r="B258" s="250" t="s">
        <v>105</v>
      </c>
      <c r="C258" s="253" t="s">
        <v>11</v>
      </c>
      <c r="D258" s="268" t="s">
        <v>42</v>
      </c>
      <c r="E258" s="253" t="s">
        <v>153</v>
      </c>
      <c r="F258" s="85" t="s">
        <v>14</v>
      </c>
      <c r="G258" s="86">
        <f t="shared" ref="G258:M258" si="76">G259+G260+G261</f>
        <v>538828.81000000006</v>
      </c>
      <c r="H258" s="86">
        <f t="shared" si="76"/>
        <v>125000</v>
      </c>
      <c r="I258" s="86">
        <f t="shared" si="76"/>
        <v>109250.2</v>
      </c>
      <c r="J258" s="86">
        <f t="shared" si="76"/>
        <v>104578.61</v>
      </c>
      <c r="K258" s="86">
        <f t="shared" si="76"/>
        <v>100000</v>
      </c>
      <c r="L258" s="86">
        <f>L259+L260+L261</f>
        <v>100000</v>
      </c>
      <c r="M258" s="86">
        <f t="shared" si="76"/>
        <v>100000</v>
      </c>
      <c r="N258" s="260"/>
    </row>
    <row r="259" spans="1:14" ht="21.75" customHeight="1" x14ac:dyDescent="0.25">
      <c r="A259" s="254"/>
      <c r="B259" s="251"/>
      <c r="C259" s="254"/>
      <c r="D259" s="269"/>
      <c r="E259" s="254"/>
      <c r="F259" s="85" t="s">
        <v>133</v>
      </c>
      <c r="G259" s="86">
        <f>H259+I259+J259+K259+M259</f>
        <v>538828.81000000006</v>
      </c>
      <c r="H259" s="86">
        <v>125000</v>
      </c>
      <c r="I259" s="86">
        <f>105000+4250.2</f>
        <v>109250.2</v>
      </c>
      <c r="J259" s="86">
        <f>105000-421.39</f>
        <v>104578.61</v>
      </c>
      <c r="K259" s="86">
        <v>100000</v>
      </c>
      <c r="L259" s="86">
        <v>100000</v>
      </c>
      <c r="M259" s="86">
        <v>100000</v>
      </c>
      <c r="N259" s="260"/>
    </row>
    <row r="260" spans="1:14" ht="21.75" customHeight="1" x14ac:dyDescent="0.25">
      <c r="A260" s="254"/>
      <c r="B260" s="251"/>
      <c r="C260" s="254"/>
      <c r="D260" s="269"/>
      <c r="E260" s="254"/>
      <c r="F260" s="85" t="s">
        <v>16</v>
      </c>
      <c r="G260" s="86">
        <f>H260+I260+J260+K260+M260</f>
        <v>0</v>
      </c>
      <c r="H260" s="86">
        <v>0</v>
      </c>
      <c r="I260" s="86">
        <v>0</v>
      </c>
      <c r="J260" s="86">
        <v>0</v>
      </c>
      <c r="K260" s="86">
        <v>0</v>
      </c>
      <c r="L260" s="86">
        <v>0</v>
      </c>
      <c r="M260" s="86">
        <v>0</v>
      </c>
      <c r="N260" s="260"/>
    </row>
    <row r="261" spans="1:14" ht="21.75" customHeight="1" x14ac:dyDescent="0.25">
      <c r="A261" s="255"/>
      <c r="B261" s="252"/>
      <c r="C261" s="254"/>
      <c r="D261" s="270"/>
      <c r="E261" s="255"/>
      <c r="F261" s="85" t="s">
        <v>17</v>
      </c>
      <c r="G261" s="86">
        <f>H261+I261+J261+K261+M261</f>
        <v>0</v>
      </c>
      <c r="H261" s="86">
        <v>0</v>
      </c>
      <c r="I261" s="86">
        <v>0</v>
      </c>
      <c r="J261" s="86">
        <v>0</v>
      </c>
      <c r="K261" s="86">
        <v>0</v>
      </c>
      <c r="L261" s="86">
        <v>0</v>
      </c>
      <c r="M261" s="86">
        <v>0</v>
      </c>
      <c r="N261" s="260"/>
    </row>
    <row r="262" spans="1:14" ht="21.75" customHeight="1" x14ac:dyDescent="0.25">
      <c r="A262" s="247" t="s">
        <v>44</v>
      </c>
      <c r="B262" s="250" t="s">
        <v>107</v>
      </c>
      <c r="C262" s="253" t="s">
        <v>11</v>
      </c>
      <c r="D262" s="268" t="s">
        <v>42</v>
      </c>
      <c r="E262" s="253" t="s">
        <v>153</v>
      </c>
      <c r="F262" s="85" t="s">
        <v>14</v>
      </c>
      <c r="G262" s="86">
        <f t="shared" ref="G262:M262" si="77">G263+G264+G265</f>
        <v>260000</v>
      </c>
      <c r="H262" s="86">
        <f t="shared" si="77"/>
        <v>40000</v>
      </c>
      <c r="I262" s="86">
        <f t="shared" si="77"/>
        <v>50000</v>
      </c>
      <c r="J262" s="86">
        <f t="shared" si="77"/>
        <v>50000</v>
      </c>
      <c r="K262" s="86">
        <f t="shared" si="77"/>
        <v>60000</v>
      </c>
      <c r="L262" s="86">
        <f>L263+L264+L265</f>
        <v>60000</v>
      </c>
      <c r="M262" s="86">
        <f t="shared" si="77"/>
        <v>60000</v>
      </c>
      <c r="N262" s="260"/>
    </row>
    <row r="263" spans="1:14" ht="21.75" customHeight="1" x14ac:dyDescent="0.25">
      <c r="A263" s="248"/>
      <c r="B263" s="251"/>
      <c r="C263" s="254"/>
      <c r="D263" s="269"/>
      <c r="E263" s="254"/>
      <c r="F263" s="85" t="s">
        <v>133</v>
      </c>
      <c r="G263" s="86">
        <f>H263+I263+J263+K263+M263</f>
        <v>260000</v>
      </c>
      <c r="H263" s="86">
        <v>40000</v>
      </c>
      <c r="I263" s="86">
        <v>50000</v>
      </c>
      <c r="J263" s="86">
        <v>50000</v>
      </c>
      <c r="K263" s="86">
        <v>60000</v>
      </c>
      <c r="L263" s="86">
        <v>60000</v>
      </c>
      <c r="M263" s="86">
        <v>60000</v>
      </c>
      <c r="N263" s="260"/>
    </row>
    <row r="264" spans="1:14" ht="21.75" customHeight="1" x14ac:dyDescent="0.25">
      <c r="A264" s="248"/>
      <c r="B264" s="251"/>
      <c r="C264" s="254"/>
      <c r="D264" s="269"/>
      <c r="E264" s="254"/>
      <c r="F264" s="85" t="s">
        <v>16</v>
      </c>
      <c r="G264" s="86">
        <f>H264+I264+J264+K264+M264</f>
        <v>0</v>
      </c>
      <c r="H264" s="86">
        <v>0</v>
      </c>
      <c r="I264" s="86">
        <v>0</v>
      </c>
      <c r="J264" s="86">
        <v>0</v>
      </c>
      <c r="K264" s="86">
        <v>0</v>
      </c>
      <c r="L264" s="86">
        <v>0</v>
      </c>
      <c r="M264" s="86">
        <v>0</v>
      </c>
      <c r="N264" s="260"/>
    </row>
    <row r="265" spans="1:14" ht="21.75" customHeight="1" x14ac:dyDescent="0.25">
      <c r="A265" s="249"/>
      <c r="B265" s="252"/>
      <c r="C265" s="254"/>
      <c r="D265" s="270"/>
      <c r="E265" s="255"/>
      <c r="F265" s="85" t="s">
        <v>17</v>
      </c>
      <c r="G265" s="86">
        <f>H265+I265+J265+K265+M265</f>
        <v>0</v>
      </c>
      <c r="H265" s="86">
        <v>0</v>
      </c>
      <c r="I265" s="86">
        <v>0</v>
      </c>
      <c r="J265" s="86">
        <v>0</v>
      </c>
      <c r="K265" s="86">
        <v>0</v>
      </c>
      <c r="L265" s="86">
        <v>0</v>
      </c>
      <c r="M265" s="86">
        <v>0</v>
      </c>
      <c r="N265" s="260"/>
    </row>
    <row r="266" spans="1:14" ht="21.75" customHeight="1" x14ac:dyDescent="0.25">
      <c r="A266" s="253" t="s">
        <v>78</v>
      </c>
      <c r="B266" s="250" t="s">
        <v>132</v>
      </c>
      <c r="C266" s="253" t="s">
        <v>11</v>
      </c>
      <c r="D266" s="262" t="s">
        <v>37</v>
      </c>
      <c r="E266" s="253" t="s">
        <v>153</v>
      </c>
      <c r="F266" s="85" t="s">
        <v>14</v>
      </c>
      <c r="G266" s="86">
        <f t="shared" ref="G266:M266" si="78">G267+G268+G269</f>
        <v>2000000</v>
      </c>
      <c r="H266" s="86">
        <f t="shared" si="78"/>
        <v>200000</v>
      </c>
      <c r="I266" s="86">
        <f t="shared" si="78"/>
        <v>200000</v>
      </c>
      <c r="J266" s="86">
        <f t="shared" si="78"/>
        <v>200000</v>
      </c>
      <c r="K266" s="86">
        <f t="shared" si="78"/>
        <v>700000</v>
      </c>
      <c r="L266" s="86">
        <f t="shared" si="78"/>
        <v>700000</v>
      </c>
      <c r="M266" s="86">
        <f t="shared" si="78"/>
        <v>700000</v>
      </c>
      <c r="N266" s="260"/>
    </row>
    <row r="267" spans="1:14" ht="21.75" customHeight="1" x14ac:dyDescent="0.25">
      <c r="A267" s="254"/>
      <c r="B267" s="251"/>
      <c r="C267" s="254"/>
      <c r="D267" s="263"/>
      <c r="E267" s="254"/>
      <c r="F267" s="85" t="s">
        <v>133</v>
      </c>
      <c r="G267" s="86">
        <f>H267+I267+J267+K267+M267</f>
        <v>2000000</v>
      </c>
      <c r="H267" s="86">
        <v>200000</v>
      </c>
      <c r="I267" s="86">
        <v>200000</v>
      </c>
      <c r="J267" s="86">
        <v>200000</v>
      </c>
      <c r="K267" s="86">
        <v>700000</v>
      </c>
      <c r="L267" s="86">
        <v>700000</v>
      </c>
      <c r="M267" s="86">
        <v>700000</v>
      </c>
      <c r="N267" s="260"/>
    </row>
    <row r="268" spans="1:14" ht="21.75" customHeight="1" x14ac:dyDescent="0.25">
      <c r="A268" s="254"/>
      <c r="B268" s="251"/>
      <c r="C268" s="254"/>
      <c r="D268" s="263"/>
      <c r="E268" s="254"/>
      <c r="F268" s="85" t="s">
        <v>16</v>
      </c>
      <c r="G268" s="86">
        <f>H268+I268+J268+K268+M268</f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 s="260"/>
    </row>
    <row r="269" spans="1:14" ht="21.75" customHeight="1" x14ac:dyDescent="0.25">
      <c r="A269" s="255"/>
      <c r="B269" s="252"/>
      <c r="C269" s="254"/>
      <c r="D269" s="264"/>
      <c r="E269" s="255"/>
      <c r="F269" s="85" t="s">
        <v>17</v>
      </c>
      <c r="G269" s="86">
        <f>H269+I269+J269+K269+M269</f>
        <v>0</v>
      </c>
      <c r="H269" s="86">
        <v>0</v>
      </c>
      <c r="I269" s="86">
        <v>0</v>
      </c>
      <c r="J269" s="86">
        <v>0</v>
      </c>
      <c r="K269" s="86">
        <v>0</v>
      </c>
      <c r="L269" s="86">
        <v>0</v>
      </c>
      <c r="M269" s="86">
        <v>0</v>
      </c>
      <c r="N269" s="260"/>
    </row>
    <row r="270" spans="1:14" ht="21.75" customHeight="1" x14ac:dyDescent="0.25">
      <c r="A270" s="265" t="s">
        <v>94</v>
      </c>
      <c r="B270" s="250" t="s">
        <v>41</v>
      </c>
      <c r="C270" s="253" t="s">
        <v>11</v>
      </c>
      <c r="D270" s="268" t="s">
        <v>42</v>
      </c>
      <c r="E270" s="253" t="s">
        <v>153</v>
      </c>
      <c r="F270" s="85" t="s">
        <v>14</v>
      </c>
      <c r="G270" s="86">
        <f t="shared" ref="G270:M270" si="79">G271+G272+G273</f>
        <v>889404.2</v>
      </c>
      <c r="H270" s="86">
        <f t="shared" si="79"/>
        <v>0</v>
      </c>
      <c r="I270" s="86">
        <f t="shared" si="79"/>
        <v>0</v>
      </c>
      <c r="J270" s="86">
        <f t="shared" si="79"/>
        <v>0</v>
      </c>
      <c r="K270" s="86">
        <f t="shared" si="79"/>
        <v>444702.1</v>
      </c>
      <c r="L270" s="86">
        <f t="shared" si="79"/>
        <v>444702.1</v>
      </c>
      <c r="M270" s="86">
        <f t="shared" si="79"/>
        <v>444702.1</v>
      </c>
      <c r="N270" s="260"/>
    </row>
    <row r="271" spans="1:14" ht="21.75" customHeight="1" x14ac:dyDescent="0.25">
      <c r="A271" s="266"/>
      <c r="B271" s="251"/>
      <c r="C271" s="254"/>
      <c r="D271" s="269"/>
      <c r="E271" s="254"/>
      <c r="F271" s="85" t="s">
        <v>133</v>
      </c>
      <c r="G271" s="86">
        <f>H271+I271+J271+K271+M271</f>
        <v>889404.2</v>
      </c>
      <c r="H271" s="86"/>
      <c r="I271" s="86"/>
      <c r="J271" s="86">
        <v>0</v>
      </c>
      <c r="K271" s="86">
        <v>444702.1</v>
      </c>
      <c r="L271" s="86">
        <v>444702.1</v>
      </c>
      <c r="M271" s="86">
        <v>444702.1</v>
      </c>
      <c r="N271" s="260"/>
    </row>
    <row r="272" spans="1:14" ht="21.75" customHeight="1" x14ac:dyDescent="0.25">
      <c r="A272" s="266"/>
      <c r="B272" s="251"/>
      <c r="C272" s="254"/>
      <c r="D272" s="269"/>
      <c r="E272" s="254"/>
      <c r="F272" s="85" t="s">
        <v>16</v>
      </c>
      <c r="G272" s="86">
        <f>H272+I272+J272+K272+M272</f>
        <v>0</v>
      </c>
      <c r="H272" s="86"/>
      <c r="I272" s="86"/>
      <c r="J272" s="86">
        <v>0</v>
      </c>
      <c r="K272" s="86">
        <v>0</v>
      </c>
      <c r="L272" s="86">
        <v>0</v>
      </c>
      <c r="M272" s="86">
        <v>0</v>
      </c>
      <c r="N272" s="260"/>
    </row>
    <row r="273" spans="1:14" ht="21.75" customHeight="1" x14ac:dyDescent="0.25">
      <c r="A273" s="267"/>
      <c r="B273" s="252"/>
      <c r="C273" s="254"/>
      <c r="D273" s="270"/>
      <c r="E273" s="255"/>
      <c r="F273" s="85" t="s">
        <v>17</v>
      </c>
      <c r="G273" s="86">
        <f>H273+I273+J273+K273+M273</f>
        <v>0</v>
      </c>
      <c r="H273" s="86"/>
      <c r="I273" s="86"/>
      <c r="J273" s="86">
        <v>0</v>
      </c>
      <c r="K273" s="86">
        <v>0</v>
      </c>
      <c r="L273" s="86">
        <v>0</v>
      </c>
      <c r="M273" s="86">
        <v>0</v>
      </c>
      <c r="N273" s="260"/>
    </row>
    <row r="274" spans="1:14" ht="21.75" hidden="1" customHeight="1" outlineLevel="1" x14ac:dyDescent="0.25">
      <c r="A274" s="247" t="s">
        <v>106</v>
      </c>
      <c r="B274" s="250" t="s">
        <v>103</v>
      </c>
      <c r="C274" s="253" t="s">
        <v>11</v>
      </c>
      <c r="D274" s="253"/>
      <c r="E274" s="253" t="s">
        <v>153</v>
      </c>
      <c r="F274" s="85" t="s">
        <v>14</v>
      </c>
      <c r="G274" s="86">
        <f t="shared" ref="G274:M274" si="80">G275+G276+G277</f>
        <v>0</v>
      </c>
      <c r="H274" s="86">
        <f t="shared" si="80"/>
        <v>0</v>
      </c>
      <c r="I274" s="86">
        <f t="shared" si="80"/>
        <v>0</v>
      </c>
      <c r="J274" s="86">
        <f t="shared" si="80"/>
        <v>0</v>
      </c>
      <c r="K274" s="86">
        <f t="shared" si="80"/>
        <v>0</v>
      </c>
      <c r="L274" s="86">
        <f>L275+L276+L277</f>
        <v>0</v>
      </c>
      <c r="M274" s="86">
        <f t="shared" si="80"/>
        <v>0</v>
      </c>
      <c r="N274" s="260"/>
    </row>
    <row r="275" spans="1:14" ht="21.75" hidden="1" customHeight="1" outlineLevel="1" x14ac:dyDescent="0.25">
      <c r="A275" s="248"/>
      <c r="B275" s="251"/>
      <c r="C275" s="254"/>
      <c r="D275" s="254"/>
      <c r="E275" s="254"/>
      <c r="F275" s="85" t="s">
        <v>15</v>
      </c>
      <c r="G275" s="86">
        <f>H275+I275+J275+K275+M275</f>
        <v>0</v>
      </c>
      <c r="H275" s="86">
        <v>0</v>
      </c>
      <c r="I275" s="86">
        <v>0</v>
      </c>
      <c r="J275" s="86">
        <v>0</v>
      </c>
      <c r="K275" s="86">
        <v>0</v>
      </c>
      <c r="L275" s="86">
        <v>0</v>
      </c>
      <c r="M275" s="86">
        <v>0</v>
      </c>
      <c r="N275" s="260"/>
    </row>
    <row r="276" spans="1:14" ht="21.75" hidden="1" customHeight="1" outlineLevel="1" x14ac:dyDescent="0.25">
      <c r="A276" s="248"/>
      <c r="B276" s="251"/>
      <c r="C276" s="254"/>
      <c r="D276" s="254"/>
      <c r="E276" s="254"/>
      <c r="F276" s="85" t="s">
        <v>16</v>
      </c>
      <c r="G276" s="86">
        <f>H276+I276+J276+K276+M276</f>
        <v>0</v>
      </c>
      <c r="H276" s="86">
        <v>0</v>
      </c>
      <c r="I276" s="86">
        <v>0</v>
      </c>
      <c r="J276" s="86">
        <v>0</v>
      </c>
      <c r="K276" s="86">
        <v>0</v>
      </c>
      <c r="L276" s="86">
        <v>0</v>
      </c>
      <c r="M276" s="86">
        <v>0</v>
      </c>
      <c r="N276" s="260"/>
    </row>
    <row r="277" spans="1:14" ht="21.75" hidden="1" customHeight="1" outlineLevel="1" x14ac:dyDescent="0.25">
      <c r="A277" s="249"/>
      <c r="B277" s="252"/>
      <c r="C277" s="254"/>
      <c r="D277" s="255"/>
      <c r="E277" s="255"/>
      <c r="F277" s="85" t="s">
        <v>17</v>
      </c>
      <c r="G277" s="86">
        <f>H277+I277+J277+K277+M277</f>
        <v>0</v>
      </c>
      <c r="H277" s="86">
        <v>0</v>
      </c>
      <c r="I277" s="86">
        <v>0</v>
      </c>
      <c r="J277" s="86">
        <v>0</v>
      </c>
      <c r="K277" s="86">
        <v>0</v>
      </c>
      <c r="L277" s="86">
        <v>0</v>
      </c>
      <c r="M277" s="86">
        <v>0</v>
      </c>
      <c r="N277" s="260"/>
    </row>
    <row r="278" spans="1:14" ht="21.75" hidden="1" customHeight="1" outlineLevel="1" x14ac:dyDescent="0.25">
      <c r="A278" s="247" t="s">
        <v>108</v>
      </c>
      <c r="B278" s="250" t="s">
        <v>109</v>
      </c>
      <c r="C278" s="253" t="s">
        <v>11</v>
      </c>
      <c r="D278" s="253"/>
      <c r="E278" s="253" t="s">
        <v>153</v>
      </c>
      <c r="F278" s="85" t="s">
        <v>14</v>
      </c>
      <c r="G278" s="86">
        <f t="shared" ref="G278:M278" si="81">G279+G280+G281</f>
        <v>0</v>
      </c>
      <c r="H278" s="86">
        <f t="shared" si="81"/>
        <v>0</v>
      </c>
      <c r="I278" s="86">
        <f t="shared" si="81"/>
        <v>0</v>
      </c>
      <c r="J278" s="86">
        <f t="shared" si="81"/>
        <v>0</v>
      </c>
      <c r="K278" s="86">
        <f t="shared" si="81"/>
        <v>0</v>
      </c>
      <c r="L278" s="86">
        <f>L279+L280+L281</f>
        <v>0</v>
      </c>
      <c r="M278" s="86">
        <f t="shared" si="81"/>
        <v>0</v>
      </c>
      <c r="N278" s="260"/>
    </row>
    <row r="279" spans="1:14" ht="21.75" hidden="1" customHeight="1" outlineLevel="1" x14ac:dyDescent="0.25">
      <c r="A279" s="248"/>
      <c r="B279" s="251"/>
      <c r="C279" s="254"/>
      <c r="D279" s="254"/>
      <c r="E279" s="254"/>
      <c r="F279" s="85" t="s">
        <v>15</v>
      </c>
      <c r="G279" s="86">
        <f>H279+I279+J279+K279+M279</f>
        <v>0</v>
      </c>
      <c r="H279" s="86">
        <v>0</v>
      </c>
      <c r="I279" s="86">
        <v>0</v>
      </c>
      <c r="J279" s="86">
        <v>0</v>
      </c>
      <c r="K279" s="86">
        <v>0</v>
      </c>
      <c r="L279" s="86">
        <v>0</v>
      </c>
      <c r="M279" s="86">
        <v>0</v>
      </c>
      <c r="N279" s="260"/>
    </row>
    <row r="280" spans="1:14" ht="21.75" hidden="1" customHeight="1" outlineLevel="1" x14ac:dyDescent="0.25">
      <c r="A280" s="248"/>
      <c r="B280" s="251"/>
      <c r="C280" s="254"/>
      <c r="D280" s="254"/>
      <c r="E280" s="254"/>
      <c r="F280" s="85" t="s">
        <v>16</v>
      </c>
      <c r="G280" s="86">
        <f>H280+I280+J280+K280+M280</f>
        <v>0</v>
      </c>
      <c r="H280" s="86">
        <v>0</v>
      </c>
      <c r="I280" s="86">
        <v>0</v>
      </c>
      <c r="J280" s="86">
        <v>0</v>
      </c>
      <c r="K280" s="86">
        <v>0</v>
      </c>
      <c r="L280" s="86">
        <v>0</v>
      </c>
      <c r="M280" s="86">
        <v>0</v>
      </c>
      <c r="N280" s="260"/>
    </row>
    <row r="281" spans="1:14" ht="21.75" hidden="1" customHeight="1" outlineLevel="1" x14ac:dyDescent="0.25">
      <c r="A281" s="249"/>
      <c r="B281" s="252"/>
      <c r="C281" s="254"/>
      <c r="D281" s="255"/>
      <c r="E281" s="255"/>
      <c r="F281" s="85" t="s">
        <v>17</v>
      </c>
      <c r="G281" s="86">
        <f>H281+I281+J281+K281+M281</f>
        <v>0</v>
      </c>
      <c r="H281" s="86">
        <v>0</v>
      </c>
      <c r="I281" s="86">
        <v>0</v>
      </c>
      <c r="J281" s="86">
        <v>0</v>
      </c>
      <c r="K281" s="86">
        <v>0</v>
      </c>
      <c r="L281" s="86">
        <v>0</v>
      </c>
      <c r="M281" s="86">
        <v>0</v>
      </c>
      <c r="N281" s="260"/>
    </row>
    <row r="282" spans="1:14" ht="21.75" hidden="1" customHeight="1" outlineLevel="1" x14ac:dyDescent="0.25">
      <c r="A282" s="96"/>
      <c r="B282" s="250" t="s">
        <v>110</v>
      </c>
      <c r="C282" s="253" t="s">
        <v>11</v>
      </c>
      <c r="D282" s="253"/>
      <c r="E282" s="253" t="s">
        <v>153</v>
      </c>
      <c r="F282" s="85" t="s">
        <v>14</v>
      </c>
      <c r="G282" s="86">
        <f t="shared" ref="G282:M282" si="82">G283+G284+G285</f>
        <v>0</v>
      </c>
      <c r="H282" s="86">
        <f t="shared" si="82"/>
        <v>0</v>
      </c>
      <c r="I282" s="86">
        <f t="shared" si="82"/>
        <v>0</v>
      </c>
      <c r="J282" s="86">
        <f t="shared" si="82"/>
        <v>0</v>
      </c>
      <c r="K282" s="86">
        <f t="shared" si="82"/>
        <v>0</v>
      </c>
      <c r="L282" s="86">
        <f>L283+L284+L285</f>
        <v>0</v>
      </c>
      <c r="M282" s="86">
        <f t="shared" si="82"/>
        <v>0</v>
      </c>
      <c r="N282" s="260"/>
    </row>
    <row r="283" spans="1:14" ht="21.75" hidden="1" customHeight="1" outlineLevel="1" x14ac:dyDescent="0.25">
      <c r="A283" s="96" t="s">
        <v>111</v>
      </c>
      <c r="B283" s="251"/>
      <c r="C283" s="254"/>
      <c r="D283" s="254"/>
      <c r="E283" s="254"/>
      <c r="F283" s="85" t="s">
        <v>15</v>
      </c>
      <c r="G283" s="94">
        <f>H283+I283+J283+K283+M283</f>
        <v>0</v>
      </c>
      <c r="H283" s="86">
        <v>0</v>
      </c>
      <c r="I283" s="86">
        <v>0</v>
      </c>
      <c r="J283" s="86">
        <v>0</v>
      </c>
      <c r="K283" s="86">
        <v>0</v>
      </c>
      <c r="L283" s="86">
        <v>0</v>
      </c>
      <c r="M283" s="86">
        <v>0</v>
      </c>
      <c r="N283" s="260"/>
    </row>
    <row r="284" spans="1:14" ht="21.75" hidden="1" customHeight="1" outlineLevel="1" x14ac:dyDescent="0.25">
      <c r="A284" s="96"/>
      <c r="B284" s="251"/>
      <c r="C284" s="254"/>
      <c r="D284" s="254"/>
      <c r="E284" s="254"/>
      <c r="F284" s="85" t="s">
        <v>16</v>
      </c>
      <c r="G284" s="94">
        <f>H284+I284+J284+K284+M284</f>
        <v>0</v>
      </c>
      <c r="H284" s="86">
        <v>0</v>
      </c>
      <c r="I284" s="86">
        <v>0</v>
      </c>
      <c r="J284" s="86">
        <v>0</v>
      </c>
      <c r="K284" s="86">
        <v>0</v>
      </c>
      <c r="L284" s="86">
        <v>0</v>
      </c>
      <c r="M284" s="86">
        <v>0</v>
      </c>
      <c r="N284" s="260"/>
    </row>
    <row r="285" spans="1:14" ht="21.75" hidden="1" customHeight="1" outlineLevel="1" x14ac:dyDescent="0.25">
      <c r="A285" s="96"/>
      <c r="B285" s="252"/>
      <c r="C285" s="254"/>
      <c r="D285" s="255"/>
      <c r="E285" s="255"/>
      <c r="F285" s="85" t="s">
        <v>17</v>
      </c>
      <c r="G285" s="94">
        <f>H285+I285+J285+K285+M285</f>
        <v>0</v>
      </c>
      <c r="H285" s="86">
        <v>0</v>
      </c>
      <c r="I285" s="86">
        <v>0</v>
      </c>
      <c r="J285" s="86">
        <v>0</v>
      </c>
      <c r="K285" s="86">
        <v>0</v>
      </c>
      <c r="L285" s="86">
        <v>0</v>
      </c>
      <c r="M285" s="86">
        <v>0</v>
      </c>
      <c r="N285" s="261"/>
    </row>
    <row r="286" spans="1:14" ht="21.75" customHeight="1" collapsed="1" x14ac:dyDescent="0.25">
      <c r="A286" s="238">
        <v>5</v>
      </c>
      <c r="B286" s="241" t="s">
        <v>139</v>
      </c>
      <c r="C286" s="244" t="s">
        <v>11</v>
      </c>
      <c r="D286" s="98"/>
      <c r="E286" s="244" t="s">
        <v>153</v>
      </c>
      <c r="F286" s="79" t="s">
        <v>14</v>
      </c>
      <c r="G286" s="80">
        <f>G287+G288+G289</f>
        <v>81305857.289999992</v>
      </c>
      <c r="H286" s="80">
        <f t="shared" ref="H286:M286" si="83">H287+H288+H289</f>
        <v>13370422.130000001</v>
      </c>
      <c r="I286" s="80">
        <f t="shared" si="83"/>
        <v>13699325.029999999</v>
      </c>
      <c r="J286" s="80">
        <f t="shared" si="83"/>
        <v>14738271</v>
      </c>
      <c r="K286" s="80">
        <f t="shared" si="83"/>
        <v>19001218.359999999</v>
      </c>
      <c r="L286" s="80">
        <f>L287+L288+L289</f>
        <v>19734258.760000002</v>
      </c>
      <c r="M286" s="80">
        <f t="shared" si="83"/>
        <v>20496620.77</v>
      </c>
      <c r="N286" s="99"/>
    </row>
    <row r="287" spans="1:14" ht="21.75" customHeight="1" x14ac:dyDescent="0.25">
      <c r="A287" s="239"/>
      <c r="B287" s="242"/>
      <c r="C287" s="245"/>
      <c r="D287" s="100"/>
      <c r="E287" s="245"/>
      <c r="F287" s="79" t="s">
        <v>133</v>
      </c>
      <c r="G287" s="80">
        <f>H287+I287+J287+K287+M287</f>
        <v>81305857.289999992</v>
      </c>
      <c r="H287" s="80">
        <f t="shared" ref="H287:M289" si="84">H291</f>
        <v>13370422.130000001</v>
      </c>
      <c r="I287" s="80">
        <f t="shared" si="84"/>
        <v>13699325.029999999</v>
      </c>
      <c r="J287" s="80">
        <f t="shared" si="84"/>
        <v>14738271</v>
      </c>
      <c r="K287" s="80">
        <f t="shared" si="84"/>
        <v>19001218.359999999</v>
      </c>
      <c r="L287" s="80">
        <f t="shared" si="84"/>
        <v>19734258.760000002</v>
      </c>
      <c r="M287" s="80">
        <f t="shared" si="84"/>
        <v>20496620.77</v>
      </c>
      <c r="N287" s="99"/>
    </row>
    <row r="288" spans="1:14" ht="21.75" customHeight="1" x14ac:dyDescent="0.25">
      <c r="A288" s="239"/>
      <c r="B288" s="242"/>
      <c r="C288" s="245"/>
      <c r="D288" s="100"/>
      <c r="E288" s="245"/>
      <c r="F288" s="79" t="s">
        <v>16</v>
      </c>
      <c r="G288" s="80">
        <f>H288+I288+J288+K288+M288</f>
        <v>0</v>
      </c>
      <c r="H288" s="80">
        <f t="shared" si="84"/>
        <v>0</v>
      </c>
      <c r="I288" s="80">
        <f t="shared" si="84"/>
        <v>0</v>
      </c>
      <c r="J288" s="80">
        <f t="shared" si="84"/>
        <v>0</v>
      </c>
      <c r="K288" s="80">
        <f t="shared" si="84"/>
        <v>0</v>
      </c>
      <c r="L288" s="80">
        <f>L292</f>
        <v>0</v>
      </c>
      <c r="M288" s="80">
        <f t="shared" si="84"/>
        <v>0</v>
      </c>
      <c r="N288" s="99"/>
    </row>
    <row r="289" spans="1:14" ht="21.75" customHeight="1" x14ac:dyDescent="0.25">
      <c r="A289" s="240"/>
      <c r="B289" s="243"/>
      <c r="C289" s="246"/>
      <c r="D289" s="101"/>
      <c r="E289" s="246"/>
      <c r="F289" s="79" t="s">
        <v>17</v>
      </c>
      <c r="G289" s="80">
        <f>H289+I289+J289+K289+M289</f>
        <v>0</v>
      </c>
      <c r="H289" s="80">
        <f t="shared" si="84"/>
        <v>0</v>
      </c>
      <c r="I289" s="80">
        <f t="shared" si="84"/>
        <v>0</v>
      </c>
      <c r="J289" s="80">
        <f t="shared" si="84"/>
        <v>0</v>
      </c>
      <c r="K289" s="80">
        <f t="shared" si="84"/>
        <v>0</v>
      </c>
      <c r="L289" s="80">
        <f>L293</f>
        <v>0</v>
      </c>
      <c r="M289" s="80">
        <f t="shared" si="84"/>
        <v>0</v>
      </c>
      <c r="N289" s="99"/>
    </row>
    <row r="290" spans="1:14" ht="21.75" customHeight="1" x14ac:dyDescent="0.25">
      <c r="A290" s="247" t="s">
        <v>18</v>
      </c>
      <c r="B290" s="250" t="s">
        <v>140</v>
      </c>
      <c r="C290" s="253" t="s">
        <v>11</v>
      </c>
      <c r="D290" s="253" t="s">
        <v>113</v>
      </c>
      <c r="E290" s="253" t="s">
        <v>153</v>
      </c>
      <c r="F290" s="85" t="s">
        <v>14</v>
      </c>
      <c r="G290" s="86">
        <f t="shared" ref="G290:M290" si="85">G291+G292+G293</f>
        <v>81305857.289999992</v>
      </c>
      <c r="H290" s="86">
        <f t="shared" si="85"/>
        <v>13370422.130000001</v>
      </c>
      <c r="I290" s="86">
        <f t="shared" si="85"/>
        <v>13699325.029999999</v>
      </c>
      <c r="J290" s="86">
        <f t="shared" si="85"/>
        <v>14738271</v>
      </c>
      <c r="K290" s="86">
        <f t="shared" si="85"/>
        <v>19001218.359999999</v>
      </c>
      <c r="L290" s="86">
        <f>L291+L292+L293</f>
        <v>19734258.760000002</v>
      </c>
      <c r="M290" s="86">
        <f t="shared" si="85"/>
        <v>20496620.77</v>
      </c>
      <c r="N290" s="258" t="s">
        <v>114</v>
      </c>
    </row>
    <row r="291" spans="1:14" ht="21.75" customHeight="1" x14ac:dyDescent="0.25">
      <c r="A291" s="248"/>
      <c r="B291" s="251"/>
      <c r="C291" s="254"/>
      <c r="D291" s="254"/>
      <c r="E291" s="254"/>
      <c r="F291" s="85" t="s">
        <v>133</v>
      </c>
      <c r="G291" s="86">
        <f>H291+I291+J291+K291+M291</f>
        <v>81305857.289999992</v>
      </c>
      <c r="H291" s="86">
        <f>13390422.13-20000</f>
        <v>13370422.130000001</v>
      </c>
      <c r="I291" s="86">
        <v>13699325.029999999</v>
      </c>
      <c r="J291" s="87">
        <f>14153616+449044+135611</f>
        <v>14738271</v>
      </c>
      <c r="K291" s="86">
        <v>19001218.359999999</v>
      </c>
      <c r="L291" s="86">
        <v>19734258.760000002</v>
      </c>
      <c r="M291" s="86">
        <v>20496620.77</v>
      </c>
      <c r="N291" s="259"/>
    </row>
    <row r="292" spans="1:14" ht="21.75" customHeight="1" x14ac:dyDescent="0.25">
      <c r="A292" s="248"/>
      <c r="B292" s="251"/>
      <c r="C292" s="254"/>
      <c r="D292" s="254"/>
      <c r="E292" s="254"/>
      <c r="F292" s="85" t="s">
        <v>16</v>
      </c>
      <c r="G292" s="86">
        <f>H292+I292+J292+K292+M292</f>
        <v>0</v>
      </c>
      <c r="H292" s="86">
        <v>0</v>
      </c>
      <c r="I292" s="86">
        <v>0</v>
      </c>
      <c r="J292" s="86">
        <v>0</v>
      </c>
      <c r="K292" s="86">
        <v>0</v>
      </c>
      <c r="L292" s="86">
        <v>0</v>
      </c>
      <c r="M292" s="86">
        <v>0</v>
      </c>
      <c r="N292" s="259"/>
    </row>
    <row r="293" spans="1:14" ht="21.75" customHeight="1" x14ac:dyDescent="0.25">
      <c r="A293" s="249"/>
      <c r="B293" s="252"/>
      <c r="C293" s="255"/>
      <c r="D293" s="255"/>
      <c r="E293" s="255"/>
      <c r="F293" s="85" t="s">
        <v>17</v>
      </c>
      <c r="G293" s="86">
        <f>H293+I293+J293+K293+M293</f>
        <v>0</v>
      </c>
      <c r="H293" s="86">
        <v>0</v>
      </c>
      <c r="I293" s="86">
        <v>0</v>
      </c>
      <c r="J293" s="86">
        <v>0</v>
      </c>
      <c r="K293" s="86">
        <v>0</v>
      </c>
      <c r="L293" s="86">
        <v>0</v>
      </c>
      <c r="M293" s="86">
        <v>0</v>
      </c>
      <c r="N293" s="259"/>
    </row>
    <row r="294" spans="1:14" ht="23.25" hidden="1" customHeight="1" outlineLevel="1" x14ac:dyDescent="0.25">
      <c r="A294" s="238">
        <v>6</v>
      </c>
      <c r="B294" s="241" t="s">
        <v>123</v>
      </c>
      <c r="C294" s="244" t="s">
        <v>11</v>
      </c>
      <c r="D294" s="98"/>
      <c r="E294" s="244" t="s">
        <v>13</v>
      </c>
      <c r="F294" s="79" t="s">
        <v>14</v>
      </c>
      <c r="G294" s="80">
        <f t="shared" ref="G294:M294" si="86">G295+G296+G297</f>
        <v>0</v>
      </c>
      <c r="H294" s="80">
        <f t="shared" si="86"/>
        <v>0</v>
      </c>
      <c r="I294" s="80">
        <f t="shared" si="86"/>
        <v>0</v>
      </c>
      <c r="J294" s="80">
        <f t="shared" si="86"/>
        <v>0</v>
      </c>
      <c r="K294" s="80">
        <f t="shared" si="86"/>
        <v>0</v>
      </c>
      <c r="L294" s="80">
        <f>L295+L296+L297</f>
        <v>0</v>
      </c>
      <c r="M294" s="80">
        <f t="shared" si="86"/>
        <v>0</v>
      </c>
      <c r="N294" s="99"/>
    </row>
    <row r="295" spans="1:14" ht="23.25" hidden="1" customHeight="1" outlineLevel="1" x14ac:dyDescent="0.25">
      <c r="A295" s="239"/>
      <c r="B295" s="256"/>
      <c r="C295" s="245"/>
      <c r="D295" s="100"/>
      <c r="E295" s="245"/>
      <c r="F295" s="79" t="s">
        <v>15</v>
      </c>
      <c r="G295" s="80">
        <f>H295+I295+J295+K295+M295</f>
        <v>0</v>
      </c>
      <c r="H295" s="80">
        <f t="shared" ref="H295:M297" si="87">H299</f>
        <v>0</v>
      </c>
      <c r="I295" s="80">
        <f t="shared" si="87"/>
        <v>0</v>
      </c>
      <c r="J295" s="80">
        <f t="shared" si="87"/>
        <v>0</v>
      </c>
      <c r="K295" s="80">
        <f t="shared" si="87"/>
        <v>0</v>
      </c>
      <c r="L295" s="80">
        <f>L299</f>
        <v>0</v>
      </c>
      <c r="M295" s="80">
        <f t="shared" si="87"/>
        <v>0</v>
      </c>
      <c r="N295" s="99"/>
    </row>
    <row r="296" spans="1:14" ht="23.25" hidden="1" customHeight="1" outlineLevel="1" x14ac:dyDescent="0.25">
      <c r="A296" s="239"/>
      <c r="B296" s="256"/>
      <c r="C296" s="245"/>
      <c r="D296" s="100"/>
      <c r="E296" s="245"/>
      <c r="F296" s="79" t="s">
        <v>16</v>
      </c>
      <c r="G296" s="80">
        <f>H296+I296+J296+K296+M296</f>
        <v>0</v>
      </c>
      <c r="H296" s="80">
        <f t="shared" si="87"/>
        <v>0</v>
      </c>
      <c r="I296" s="80">
        <f t="shared" si="87"/>
        <v>0</v>
      </c>
      <c r="J296" s="80">
        <f t="shared" si="87"/>
        <v>0</v>
      </c>
      <c r="K296" s="80">
        <f t="shared" si="87"/>
        <v>0</v>
      </c>
      <c r="L296" s="80">
        <f>L300</f>
        <v>0</v>
      </c>
      <c r="M296" s="80">
        <f t="shared" si="87"/>
        <v>0</v>
      </c>
      <c r="N296" s="99"/>
    </row>
    <row r="297" spans="1:14" ht="27" hidden="1" customHeight="1" outlineLevel="1" x14ac:dyDescent="0.25">
      <c r="A297" s="240"/>
      <c r="B297" s="257"/>
      <c r="C297" s="246"/>
      <c r="D297" s="101"/>
      <c r="E297" s="246"/>
      <c r="F297" s="79" t="s">
        <v>17</v>
      </c>
      <c r="G297" s="80">
        <f>H297+I297+J297+K297+M297</f>
        <v>0</v>
      </c>
      <c r="H297" s="80">
        <f t="shared" si="87"/>
        <v>0</v>
      </c>
      <c r="I297" s="80">
        <f t="shared" si="87"/>
        <v>0</v>
      </c>
      <c r="J297" s="80">
        <f t="shared" si="87"/>
        <v>0</v>
      </c>
      <c r="K297" s="80">
        <f t="shared" si="87"/>
        <v>0</v>
      </c>
      <c r="L297" s="80">
        <f>L301</f>
        <v>0</v>
      </c>
      <c r="M297" s="80">
        <f t="shared" si="87"/>
        <v>0</v>
      </c>
      <c r="N297" s="99"/>
    </row>
    <row r="298" spans="1:14" ht="21.75" hidden="1" customHeight="1" outlineLevel="1" x14ac:dyDescent="0.25">
      <c r="A298" s="247" t="s">
        <v>124</v>
      </c>
      <c r="B298" s="250" t="s">
        <v>125</v>
      </c>
      <c r="C298" s="253" t="s">
        <v>11</v>
      </c>
      <c r="D298" s="253" t="s">
        <v>113</v>
      </c>
      <c r="E298" s="253" t="s">
        <v>13</v>
      </c>
      <c r="F298" s="85" t="s">
        <v>14</v>
      </c>
      <c r="G298" s="86">
        <f t="shared" ref="G298:M298" si="88">G299+G300+G301</f>
        <v>0</v>
      </c>
      <c r="H298" s="86">
        <f t="shared" si="88"/>
        <v>0</v>
      </c>
      <c r="I298" s="86">
        <f t="shared" si="88"/>
        <v>0</v>
      </c>
      <c r="J298" s="86">
        <f t="shared" si="88"/>
        <v>0</v>
      </c>
      <c r="K298" s="86">
        <f t="shared" si="88"/>
        <v>0</v>
      </c>
      <c r="L298" s="86">
        <f>L299+L300+L301</f>
        <v>0</v>
      </c>
      <c r="M298" s="86">
        <f t="shared" si="88"/>
        <v>0</v>
      </c>
      <c r="N298" s="236" t="s">
        <v>126</v>
      </c>
    </row>
    <row r="299" spans="1:14" ht="21.75" hidden="1" customHeight="1" outlineLevel="1" x14ac:dyDescent="0.25">
      <c r="A299" s="248"/>
      <c r="B299" s="251"/>
      <c r="C299" s="254"/>
      <c r="D299" s="254"/>
      <c r="E299" s="254"/>
      <c r="F299" s="85" t="s">
        <v>15</v>
      </c>
      <c r="G299" s="86">
        <f>H299+I299+J299+K299+M299</f>
        <v>0</v>
      </c>
      <c r="H299" s="86">
        <v>0</v>
      </c>
      <c r="I299" s="86">
        <v>0</v>
      </c>
      <c r="J299" s="86">
        <v>0</v>
      </c>
      <c r="K299" s="86">
        <v>0</v>
      </c>
      <c r="L299" s="86">
        <v>0</v>
      </c>
      <c r="M299" s="86">
        <v>0</v>
      </c>
      <c r="N299" s="237"/>
    </row>
    <row r="300" spans="1:14" ht="21.75" hidden="1" customHeight="1" outlineLevel="1" x14ac:dyDescent="0.25">
      <c r="A300" s="248"/>
      <c r="B300" s="251"/>
      <c r="C300" s="254"/>
      <c r="D300" s="254"/>
      <c r="E300" s="254"/>
      <c r="F300" s="85" t="s">
        <v>16</v>
      </c>
      <c r="G300" s="86">
        <f>H300+I300+J300+K300+M300</f>
        <v>0</v>
      </c>
      <c r="H300" s="86">
        <v>0</v>
      </c>
      <c r="I300" s="86">
        <v>0</v>
      </c>
      <c r="J300" s="86">
        <v>0</v>
      </c>
      <c r="K300" s="86">
        <v>0</v>
      </c>
      <c r="L300" s="86">
        <v>0</v>
      </c>
      <c r="M300" s="86">
        <v>0</v>
      </c>
      <c r="N300" s="237"/>
    </row>
    <row r="301" spans="1:14" ht="21.75" hidden="1" customHeight="1" outlineLevel="1" x14ac:dyDescent="0.25">
      <c r="A301" s="249"/>
      <c r="B301" s="252"/>
      <c r="C301" s="255"/>
      <c r="D301" s="255"/>
      <c r="E301" s="255"/>
      <c r="F301" s="85" t="s">
        <v>17</v>
      </c>
      <c r="G301" s="86">
        <f>H301+I301+J301+K301+M301</f>
        <v>0</v>
      </c>
      <c r="H301" s="86">
        <v>0</v>
      </c>
      <c r="I301" s="86">
        <v>0</v>
      </c>
      <c r="J301" s="86">
        <v>0</v>
      </c>
      <c r="K301" s="86">
        <v>0</v>
      </c>
      <c r="L301" s="86">
        <v>0</v>
      </c>
      <c r="M301" s="86">
        <v>0</v>
      </c>
      <c r="N301" s="237"/>
    </row>
    <row r="302" spans="1:14" ht="21.75" hidden="1" customHeight="1" outlineLevel="1" x14ac:dyDescent="0.25">
      <c r="A302" s="238">
        <v>7</v>
      </c>
      <c r="B302" s="241" t="s">
        <v>127</v>
      </c>
      <c r="C302" s="244" t="s">
        <v>11</v>
      </c>
      <c r="D302" s="98"/>
      <c r="E302" s="244" t="s">
        <v>13</v>
      </c>
      <c r="F302" s="79" t="s">
        <v>14</v>
      </c>
      <c r="G302" s="80">
        <f t="shared" ref="G302:M302" si="89">G303+G304+G305</f>
        <v>0</v>
      </c>
      <c r="H302" s="80">
        <f t="shared" si="89"/>
        <v>0</v>
      </c>
      <c r="I302" s="80">
        <f t="shared" si="89"/>
        <v>0</v>
      </c>
      <c r="J302" s="80">
        <f t="shared" si="89"/>
        <v>0</v>
      </c>
      <c r="K302" s="80">
        <f t="shared" si="89"/>
        <v>0</v>
      </c>
      <c r="L302" s="80">
        <f>L303+L304+L305</f>
        <v>0</v>
      </c>
      <c r="M302" s="80">
        <f t="shared" si="89"/>
        <v>0</v>
      </c>
      <c r="N302" s="99"/>
    </row>
    <row r="303" spans="1:14" ht="21.75" hidden="1" customHeight="1" outlineLevel="1" x14ac:dyDescent="0.25">
      <c r="A303" s="239"/>
      <c r="B303" s="242"/>
      <c r="C303" s="245"/>
      <c r="D303" s="100"/>
      <c r="E303" s="245"/>
      <c r="F303" s="79" t="s">
        <v>15</v>
      </c>
      <c r="G303" s="80">
        <f>H303+I303+J303+K303+M303</f>
        <v>0</v>
      </c>
      <c r="H303" s="80">
        <f t="shared" ref="H303:M305" si="90">H307</f>
        <v>0</v>
      </c>
      <c r="I303" s="80">
        <f t="shared" si="90"/>
        <v>0</v>
      </c>
      <c r="J303" s="80">
        <f t="shared" si="90"/>
        <v>0</v>
      </c>
      <c r="K303" s="80">
        <f t="shared" si="90"/>
        <v>0</v>
      </c>
      <c r="L303" s="80">
        <f>L307</f>
        <v>0</v>
      </c>
      <c r="M303" s="80">
        <f t="shared" si="90"/>
        <v>0</v>
      </c>
      <c r="N303" s="99"/>
    </row>
    <row r="304" spans="1:14" ht="21.75" hidden="1" customHeight="1" outlineLevel="1" x14ac:dyDescent="0.25">
      <c r="A304" s="239"/>
      <c r="B304" s="242"/>
      <c r="C304" s="245"/>
      <c r="D304" s="100"/>
      <c r="E304" s="245"/>
      <c r="F304" s="79" t="s">
        <v>16</v>
      </c>
      <c r="G304" s="80">
        <f>H304+I304+J304+K304+M304</f>
        <v>0</v>
      </c>
      <c r="H304" s="80">
        <f t="shared" si="90"/>
        <v>0</v>
      </c>
      <c r="I304" s="80">
        <f t="shared" si="90"/>
        <v>0</v>
      </c>
      <c r="J304" s="80">
        <f t="shared" si="90"/>
        <v>0</v>
      </c>
      <c r="K304" s="80">
        <f t="shared" si="90"/>
        <v>0</v>
      </c>
      <c r="L304" s="80">
        <f>L308</f>
        <v>0</v>
      </c>
      <c r="M304" s="80">
        <f t="shared" si="90"/>
        <v>0</v>
      </c>
      <c r="N304" s="99"/>
    </row>
    <row r="305" spans="1:41" ht="21.75" hidden="1" customHeight="1" outlineLevel="1" x14ac:dyDescent="0.25">
      <c r="A305" s="240"/>
      <c r="B305" s="243"/>
      <c r="C305" s="246"/>
      <c r="D305" s="101"/>
      <c r="E305" s="246"/>
      <c r="F305" s="79" t="s">
        <v>17</v>
      </c>
      <c r="G305" s="80">
        <f>H305+I305+J305+K305+M305</f>
        <v>0</v>
      </c>
      <c r="H305" s="80">
        <f t="shared" si="90"/>
        <v>0</v>
      </c>
      <c r="I305" s="80">
        <f t="shared" si="90"/>
        <v>0</v>
      </c>
      <c r="J305" s="80">
        <f t="shared" si="90"/>
        <v>0</v>
      </c>
      <c r="K305" s="80">
        <f t="shared" si="90"/>
        <v>0</v>
      </c>
      <c r="L305" s="80">
        <f>L309</f>
        <v>0</v>
      </c>
      <c r="M305" s="80">
        <f t="shared" si="90"/>
        <v>0</v>
      </c>
      <c r="N305" s="99"/>
    </row>
    <row r="306" spans="1:41" ht="30.75" hidden="1" customHeight="1" outlineLevel="1" x14ac:dyDescent="0.25">
      <c r="A306" s="247" t="s">
        <v>128</v>
      </c>
      <c r="B306" s="250" t="s">
        <v>129</v>
      </c>
      <c r="C306" s="253" t="s">
        <v>11</v>
      </c>
      <c r="D306" s="253" t="s">
        <v>113</v>
      </c>
      <c r="E306" s="253" t="s">
        <v>13</v>
      </c>
      <c r="F306" s="85" t="s">
        <v>14</v>
      </c>
      <c r="G306" s="86">
        <f t="shared" ref="G306:M306" si="91">G307+G308+G309</f>
        <v>0</v>
      </c>
      <c r="H306" s="86">
        <f t="shared" si="91"/>
        <v>0</v>
      </c>
      <c r="I306" s="86">
        <f t="shared" si="91"/>
        <v>0</v>
      </c>
      <c r="J306" s="86">
        <f t="shared" si="91"/>
        <v>0</v>
      </c>
      <c r="K306" s="86">
        <f t="shared" si="91"/>
        <v>0</v>
      </c>
      <c r="L306" s="86">
        <f>L307+L308+L309</f>
        <v>0</v>
      </c>
      <c r="M306" s="86">
        <f t="shared" si="91"/>
        <v>0</v>
      </c>
      <c r="N306" s="222" t="s">
        <v>130</v>
      </c>
    </row>
    <row r="307" spans="1:41" ht="30.75" hidden="1" customHeight="1" outlineLevel="1" x14ac:dyDescent="0.25">
      <c r="A307" s="248"/>
      <c r="B307" s="251"/>
      <c r="C307" s="254"/>
      <c r="D307" s="254"/>
      <c r="E307" s="254"/>
      <c r="F307" s="85" t="s">
        <v>15</v>
      </c>
      <c r="G307" s="86">
        <f>H307+I307+J307+K307+M307</f>
        <v>0</v>
      </c>
      <c r="H307" s="86">
        <v>0</v>
      </c>
      <c r="I307" s="86">
        <v>0</v>
      </c>
      <c r="J307" s="86">
        <v>0</v>
      </c>
      <c r="K307" s="86">
        <v>0</v>
      </c>
      <c r="L307" s="86">
        <v>0</v>
      </c>
      <c r="M307" s="86">
        <v>0</v>
      </c>
      <c r="N307" s="223"/>
    </row>
    <row r="308" spans="1:41" ht="30.75" hidden="1" customHeight="1" outlineLevel="1" x14ac:dyDescent="0.25">
      <c r="A308" s="248"/>
      <c r="B308" s="251"/>
      <c r="C308" s="254"/>
      <c r="D308" s="254"/>
      <c r="E308" s="254"/>
      <c r="F308" s="85" t="s">
        <v>16</v>
      </c>
      <c r="G308" s="86">
        <f>H308+I308+J308+K308+M308</f>
        <v>0</v>
      </c>
      <c r="H308" s="86">
        <v>0</v>
      </c>
      <c r="I308" s="86">
        <v>0</v>
      </c>
      <c r="J308" s="86">
        <v>0</v>
      </c>
      <c r="K308" s="86">
        <v>0</v>
      </c>
      <c r="L308" s="86">
        <v>0</v>
      </c>
      <c r="M308" s="86">
        <v>0</v>
      </c>
      <c r="N308" s="223"/>
    </row>
    <row r="309" spans="1:41" ht="30.75" hidden="1" customHeight="1" outlineLevel="1" x14ac:dyDescent="0.25">
      <c r="A309" s="249"/>
      <c r="B309" s="252"/>
      <c r="C309" s="255"/>
      <c r="D309" s="255"/>
      <c r="E309" s="255"/>
      <c r="F309" s="85" t="s">
        <v>17</v>
      </c>
      <c r="G309" s="86">
        <f>H309+I309+J309+K309+M309</f>
        <v>0</v>
      </c>
      <c r="H309" s="86">
        <v>0</v>
      </c>
      <c r="I309" s="86">
        <v>0</v>
      </c>
      <c r="J309" s="86">
        <v>0</v>
      </c>
      <c r="K309" s="86">
        <v>0</v>
      </c>
      <c r="L309" s="86">
        <v>0</v>
      </c>
      <c r="M309" s="86">
        <v>0</v>
      </c>
      <c r="N309" s="223"/>
    </row>
    <row r="310" spans="1:41" ht="21.75" customHeight="1" collapsed="1" x14ac:dyDescent="0.25">
      <c r="A310" s="224" t="s">
        <v>115</v>
      </c>
      <c r="B310" s="227" t="s">
        <v>116</v>
      </c>
      <c r="C310" s="228"/>
      <c r="D310" s="228"/>
      <c r="E310" s="229"/>
      <c r="F310" s="102" t="s">
        <v>14</v>
      </c>
      <c r="G310" s="103">
        <f t="shared" ref="G310:M310" si="92">G311+G312+G313</f>
        <v>5668734002.3900003</v>
      </c>
      <c r="H310" s="103">
        <f t="shared" si="92"/>
        <v>952111245</v>
      </c>
      <c r="I310" s="103">
        <f t="shared" si="92"/>
        <v>1061957868.36</v>
      </c>
      <c r="J310" s="103">
        <f t="shared" si="92"/>
        <v>1249365484.9299998</v>
      </c>
      <c r="K310" s="103">
        <f t="shared" si="92"/>
        <v>1218607999.23</v>
      </c>
      <c r="L310" s="103">
        <f>L311+L312+L313</f>
        <v>1158031957.79</v>
      </c>
      <c r="M310" s="103">
        <f t="shared" si="92"/>
        <v>1186691404.8699999</v>
      </c>
      <c r="N310" s="99"/>
    </row>
    <row r="311" spans="1:41" ht="21.75" customHeight="1" x14ac:dyDescent="0.25">
      <c r="A311" s="225"/>
      <c r="B311" s="230"/>
      <c r="C311" s="231"/>
      <c r="D311" s="231"/>
      <c r="E311" s="232"/>
      <c r="F311" s="102" t="s">
        <v>133</v>
      </c>
      <c r="G311" s="103">
        <f>H311+I311+J311+K311+M311</f>
        <v>1498448570.51</v>
      </c>
      <c r="H311" s="103">
        <f t="shared" ref="H311:M313" si="93">H303+H251+H227+H159+H11+H287+H295</f>
        <v>257261460.34999999</v>
      </c>
      <c r="I311" s="103">
        <f t="shared" si="93"/>
        <v>274006749.57000005</v>
      </c>
      <c r="J311" s="103">
        <f t="shared" si="93"/>
        <v>305893043.46000004</v>
      </c>
      <c r="K311" s="103">
        <f t="shared" si="93"/>
        <v>336232866.72999996</v>
      </c>
      <c r="L311" s="103">
        <f t="shared" si="93"/>
        <v>321802747.78999996</v>
      </c>
      <c r="M311" s="103">
        <f t="shared" si="93"/>
        <v>325054450.39999992</v>
      </c>
      <c r="N311" s="99"/>
    </row>
    <row r="312" spans="1:41" ht="21.75" customHeight="1" x14ac:dyDescent="0.25">
      <c r="A312" s="225"/>
      <c r="B312" s="230"/>
      <c r="C312" s="231"/>
      <c r="D312" s="231"/>
      <c r="E312" s="232"/>
      <c r="F312" s="102" t="s">
        <v>16</v>
      </c>
      <c r="G312" s="103">
        <f>H312+I312+J312+K312+M312</f>
        <v>3779638464.5600004</v>
      </c>
      <c r="H312" s="103">
        <f t="shared" si="93"/>
        <v>674427650.64999998</v>
      </c>
      <c r="I312" s="103">
        <f t="shared" si="93"/>
        <v>721973504.32999992</v>
      </c>
      <c r="J312" s="103">
        <f t="shared" si="93"/>
        <v>762876058.57999992</v>
      </c>
      <c r="K312" s="103">
        <f t="shared" si="93"/>
        <v>805377386.53000009</v>
      </c>
      <c r="L312" s="103">
        <f t="shared" si="93"/>
        <v>788801120</v>
      </c>
      <c r="M312" s="103">
        <f t="shared" si="93"/>
        <v>814983864.47000003</v>
      </c>
      <c r="N312" s="99"/>
    </row>
    <row r="313" spans="1:41" ht="21.75" customHeight="1" x14ac:dyDescent="0.25">
      <c r="A313" s="226"/>
      <c r="B313" s="233"/>
      <c r="C313" s="234"/>
      <c r="D313" s="234"/>
      <c r="E313" s="235"/>
      <c r="F313" s="102" t="s">
        <v>17</v>
      </c>
      <c r="G313" s="103">
        <f>H313+I313+J313+K313+M313</f>
        <v>390646967.31999993</v>
      </c>
      <c r="H313" s="103">
        <f t="shared" si="93"/>
        <v>20422134</v>
      </c>
      <c r="I313" s="103">
        <f t="shared" si="93"/>
        <v>65977614.459999993</v>
      </c>
      <c r="J313" s="103">
        <f t="shared" si="93"/>
        <v>180596382.88999999</v>
      </c>
      <c r="K313" s="103">
        <f t="shared" si="93"/>
        <v>76997745.969999999</v>
      </c>
      <c r="L313" s="103">
        <f t="shared" si="93"/>
        <v>47428090</v>
      </c>
      <c r="M313" s="103">
        <f t="shared" si="93"/>
        <v>46653090</v>
      </c>
      <c r="N313" s="99"/>
    </row>
    <row r="314" spans="1:41" x14ac:dyDescent="0.25">
      <c r="I314" s="104">
        <f>'[12]остатки средств в ФК_9'!$R$101-1600000</f>
        <v>1061957868.36</v>
      </c>
      <c r="J314" s="104">
        <f>'[4]остатки средств в ФК_3'!$R$116</f>
        <v>1249365484.9300001</v>
      </c>
      <c r="K314" s="104">
        <f>'[14]остатки средств в ФК_3'!$R$117</f>
        <v>1218607999.23</v>
      </c>
      <c r="L314" s="104">
        <f>'[15]СРБ на план. период_1'!$T$77</f>
        <v>1158031957.79</v>
      </c>
      <c r="M314" s="104">
        <f>'[15]СРБ на план. период_1'!$U$77</f>
        <v>1186691404.8699999</v>
      </c>
    </row>
    <row r="315" spans="1:41" x14ac:dyDescent="0.25">
      <c r="I315" s="104">
        <f>I310-I314</f>
        <v>0</v>
      </c>
      <c r="J315" s="104">
        <f>J310-J314</f>
        <v>0</v>
      </c>
      <c r="K315" s="104">
        <f>K310-K314</f>
        <v>0</v>
      </c>
      <c r="L315" s="104">
        <f>L310-L314</f>
        <v>0</v>
      </c>
      <c r="M315" s="104">
        <f>M310-M314</f>
        <v>0</v>
      </c>
    </row>
    <row r="316" spans="1:41" x14ac:dyDescent="0.25">
      <c r="J316" s="67"/>
      <c r="L316" s="67"/>
      <c r="M316" s="67"/>
    </row>
    <row r="317" spans="1:41" s="60" customFormat="1" x14ac:dyDescent="0.25">
      <c r="A317" s="59"/>
      <c r="B317" s="57"/>
      <c r="C317" s="58"/>
      <c r="D317" s="59"/>
      <c r="E317" s="59"/>
      <c r="F317" s="59"/>
      <c r="I317" s="67"/>
      <c r="N317" s="105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</row>
    <row r="322" spans="10:13" x14ac:dyDescent="0.25">
      <c r="J322" s="67"/>
      <c r="K322" s="67"/>
      <c r="L322" s="67"/>
      <c r="M322" s="67"/>
    </row>
  </sheetData>
  <mergeCells count="405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N162:N225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E166:E169"/>
    <mergeCell ref="A170:A173"/>
    <mergeCell ref="B170:B173"/>
    <mergeCell ref="C170:C173"/>
    <mergeCell ref="D170:D173"/>
    <mergeCell ref="E170:E173"/>
    <mergeCell ref="A162:A165"/>
    <mergeCell ref="B162:B165"/>
    <mergeCell ref="C162:C165"/>
    <mergeCell ref="D162:D165"/>
    <mergeCell ref="E162:E165"/>
    <mergeCell ref="A174:A177"/>
    <mergeCell ref="B174:B177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B214:B217"/>
    <mergeCell ref="C214:C217"/>
    <mergeCell ref="D214:D217"/>
    <mergeCell ref="E214:E217"/>
    <mergeCell ref="A218:A221"/>
    <mergeCell ref="B218:B221"/>
    <mergeCell ref="C218:C221"/>
    <mergeCell ref="D218:D221"/>
    <mergeCell ref="E218:E221"/>
    <mergeCell ref="B222:B225"/>
    <mergeCell ref="C222:C225"/>
    <mergeCell ref="D222:D225"/>
    <mergeCell ref="E222:E225"/>
    <mergeCell ref="N226:N229"/>
    <mergeCell ref="A230:A233"/>
    <mergeCell ref="B230:B233"/>
    <mergeCell ref="C230:C233"/>
    <mergeCell ref="D230:D233"/>
    <mergeCell ref="E230:E233"/>
    <mergeCell ref="N230:N249"/>
    <mergeCell ref="A234:A237"/>
    <mergeCell ref="B234:B237"/>
    <mergeCell ref="C234:C237"/>
    <mergeCell ref="A226:A229"/>
    <mergeCell ref="B226:B229"/>
    <mergeCell ref="C226:C229"/>
    <mergeCell ref="D226:D229"/>
    <mergeCell ref="E226:E229"/>
    <mergeCell ref="D234:D237"/>
    <mergeCell ref="E234:E237"/>
    <mergeCell ref="A238:A241"/>
    <mergeCell ref="B238:B241"/>
    <mergeCell ref="C238:C241"/>
    <mergeCell ref="D238:D241"/>
    <mergeCell ref="E238:E241"/>
    <mergeCell ref="A250:A253"/>
    <mergeCell ref="B250:B253"/>
    <mergeCell ref="C250:C253"/>
    <mergeCell ref="D250:D253"/>
    <mergeCell ref="E250:E253"/>
    <mergeCell ref="N250:N253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E258:E261"/>
    <mergeCell ref="A262:A265"/>
    <mergeCell ref="B262:B265"/>
    <mergeCell ref="C262:C265"/>
    <mergeCell ref="D262:D265"/>
    <mergeCell ref="E262:E265"/>
    <mergeCell ref="A254:A257"/>
    <mergeCell ref="B254:B257"/>
    <mergeCell ref="C254:C257"/>
    <mergeCell ref="D254:D257"/>
    <mergeCell ref="E254:E257"/>
    <mergeCell ref="A258:A261"/>
    <mergeCell ref="B258:B261"/>
    <mergeCell ref="C258:C261"/>
    <mergeCell ref="D258:D261"/>
    <mergeCell ref="E278:E281"/>
    <mergeCell ref="A266:A269"/>
    <mergeCell ref="B266:B269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A290:A293"/>
    <mergeCell ref="B290:B293"/>
    <mergeCell ref="C290:C293"/>
    <mergeCell ref="D290:D293"/>
    <mergeCell ref="E290:E293"/>
    <mergeCell ref="N290:N293"/>
    <mergeCell ref="B282:B285"/>
    <mergeCell ref="C282:C285"/>
    <mergeCell ref="D282:D285"/>
    <mergeCell ref="E282:E285"/>
    <mergeCell ref="A286:A289"/>
    <mergeCell ref="B286:B289"/>
    <mergeCell ref="C286:C289"/>
    <mergeCell ref="E286:E289"/>
    <mergeCell ref="N254:N285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A294:A297"/>
    <mergeCell ref="B294:B297"/>
    <mergeCell ref="C294:C297"/>
    <mergeCell ref="E294:E297"/>
    <mergeCell ref="A298:A301"/>
    <mergeCell ref="B298:B301"/>
    <mergeCell ref="C298:C301"/>
    <mergeCell ref="D298:D301"/>
    <mergeCell ref="E298:E301"/>
    <mergeCell ref="N306:N309"/>
    <mergeCell ref="A310:A313"/>
    <mergeCell ref="B310:E313"/>
    <mergeCell ref="N298:N301"/>
    <mergeCell ref="A302:A305"/>
    <mergeCell ref="B302:B305"/>
    <mergeCell ref="C302:C305"/>
    <mergeCell ref="E302:E305"/>
    <mergeCell ref="A306:A309"/>
    <mergeCell ref="B306:B309"/>
    <mergeCell ref="C306:C309"/>
    <mergeCell ref="D306:D309"/>
    <mergeCell ref="E306:E309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7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22"/>
  <sheetViews>
    <sheetView view="pageBreakPreview" zoomScale="80" zoomScaleNormal="100" zoomScaleSheetLayoutView="80" workbookViewId="0">
      <pane xSplit="7" ySplit="8" topLeftCell="I9" activePane="bottomRight" state="frozen"/>
      <selection pane="topRight" activeCell="G1" sqref="G1"/>
      <selection pane="bottomLeft" activeCell="A8" sqref="A8"/>
      <selection pane="bottomRight" activeCell="N2" sqref="N2"/>
    </sheetView>
  </sheetViews>
  <sheetFormatPr defaultRowHeight="16.5" outlineLevelRow="1" outlineLevelCol="1" x14ac:dyDescent="0.25"/>
  <cols>
    <col min="1" max="1" width="8" style="59" customWidth="1"/>
    <col min="2" max="2" width="52.42578125" style="57" customWidth="1"/>
    <col min="3" max="3" width="14.28515625" style="58" customWidth="1" outlineLevel="1"/>
    <col min="4" max="4" width="18.7109375" style="59" customWidth="1" outlineLevel="1"/>
    <col min="5" max="5" width="10.85546875" style="59" customWidth="1" outlineLevel="1"/>
    <col min="6" max="6" width="26.85546875" style="59" customWidth="1"/>
    <col min="7" max="13" width="19.42578125" style="60" customWidth="1"/>
    <col min="14" max="14" width="65.7109375" style="105" customWidth="1" outlineLevel="1"/>
    <col min="15" max="15" width="20.7109375" style="59" customWidth="1"/>
    <col min="16" max="16" width="17.140625" style="59" hidden="1" customWidth="1"/>
    <col min="17" max="17" width="13" style="59" hidden="1" customWidth="1"/>
    <col min="18" max="18" width="11.7109375" style="59" hidden="1" customWidth="1"/>
    <col min="19" max="23" width="9.140625" style="59" hidden="1" customWidth="1"/>
    <col min="24" max="25" width="9.140625" style="59"/>
    <col min="26" max="26" width="11.7109375" style="59" bestFit="1" customWidth="1"/>
    <col min="27" max="16384" width="9.140625" style="59"/>
  </cols>
  <sheetData>
    <row r="1" spans="1:17" x14ac:dyDescent="0.25">
      <c r="A1" s="56"/>
      <c r="K1" s="333" t="s">
        <v>131</v>
      </c>
      <c r="L1" s="333"/>
      <c r="M1" s="333"/>
      <c r="N1" s="333"/>
      <c r="O1" s="61"/>
      <c r="P1" s="61"/>
      <c r="Q1" s="61"/>
    </row>
    <row r="2" spans="1:17" x14ac:dyDescent="0.25">
      <c r="A2" s="56"/>
      <c r="B2" s="334" t="s">
        <v>0</v>
      </c>
      <c r="C2" s="334"/>
      <c r="D2" s="334"/>
      <c r="E2" s="334"/>
      <c r="F2" s="334"/>
      <c r="G2" s="334"/>
      <c r="H2" s="334"/>
      <c r="I2" s="334"/>
      <c r="J2" s="334"/>
      <c r="K2" s="334"/>
      <c r="L2" s="62"/>
      <c r="M2" s="62"/>
      <c r="N2" s="63" t="s">
        <v>158</v>
      </c>
      <c r="O2" s="61"/>
    </row>
    <row r="3" spans="1:17" x14ac:dyDescent="0.25">
      <c r="A3" s="56"/>
      <c r="B3" s="334" t="s">
        <v>1</v>
      </c>
      <c r="C3" s="334"/>
      <c r="D3" s="334"/>
      <c r="E3" s="334"/>
      <c r="F3" s="334"/>
      <c r="G3" s="334"/>
      <c r="H3" s="334"/>
      <c r="I3" s="334"/>
      <c r="J3" s="334"/>
      <c r="K3" s="334"/>
      <c r="L3" s="64"/>
      <c r="M3" s="64"/>
      <c r="N3" s="63" t="s">
        <v>135</v>
      </c>
    </row>
    <row r="4" spans="1:17" ht="15.75" customHeight="1" x14ac:dyDescent="0.25">
      <c r="A4" s="56"/>
      <c r="B4" s="334" t="s">
        <v>134</v>
      </c>
      <c r="C4" s="334"/>
      <c r="D4" s="334"/>
      <c r="E4" s="334"/>
      <c r="F4" s="334"/>
      <c r="G4" s="334"/>
      <c r="H4" s="334"/>
      <c r="I4" s="334"/>
      <c r="J4" s="334"/>
      <c r="K4" s="334"/>
      <c r="L4" s="65"/>
      <c r="M4" s="65"/>
      <c r="N4" s="66"/>
    </row>
    <row r="5" spans="1:17" x14ac:dyDescent="0.25">
      <c r="A5" s="56"/>
      <c r="H5" s="67"/>
      <c r="I5" s="68">
        <f t="shared" ref="I5:J5" si="0">I20+I40+I44+I48+I52+I96+I104+I116</f>
        <v>628554600</v>
      </c>
      <c r="J5" s="68">
        <f t="shared" si="0"/>
        <v>651853900</v>
      </c>
      <c r="K5" s="68">
        <f>K20+K40+K44+K48+K52+K96+K104+K116</f>
        <v>693763300.00000012</v>
      </c>
      <c r="L5" s="68">
        <f t="shared" ref="L5:M5" si="1">L20+L40+L44+L48+L52+L96+L104+L116</f>
        <v>715126400</v>
      </c>
      <c r="M5" s="68">
        <f t="shared" si="1"/>
        <v>730443300</v>
      </c>
      <c r="N5" s="69" t="s">
        <v>117</v>
      </c>
    </row>
    <row r="6" spans="1:17" x14ac:dyDescent="0.25">
      <c r="A6" s="56"/>
      <c r="H6" s="67"/>
      <c r="I6" s="68"/>
      <c r="J6" s="70">
        <f>J28+J88+J124-2040.87</f>
        <v>66322571</v>
      </c>
      <c r="K6" s="70">
        <f>K28+K88+K124-1300.84</f>
        <v>52591117.160000004</v>
      </c>
      <c r="L6" s="70">
        <f>L28+L88+L124</f>
        <v>56830782.090000004</v>
      </c>
      <c r="M6" s="70">
        <f>M28+M88+M124</f>
        <v>46395292.390000001</v>
      </c>
      <c r="N6" s="69" t="s">
        <v>118</v>
      </c>
    </row>
    <row r="7" spans="1:17" s="71" customFormat="1" ht="21.75" customHeight="1" x14ac:dyDescent="0.25">
      <c r="A7" s="325" t="s">
        <v>2</v>
      </c>
      <c r="B7" s="325" t="s">
        <v>3</v>
      </c>
      <c r="C7" s="325" t="s">
        <v>4</v>
      </c>
      <c r="D7" s="325" t="s">
        <v>5</v>
      </c>
      <c r="E7" s="325" t="s">
        <v>6</v>
      </c>
      <c r="F7" s="325" t="s">
        <v>7</v>
      </c>
      <c r="G7" s="322" t="s">
        <v>8</v>
      </c>
      <c r="H7" s="323"/>
      <c r="I7" s="323"/>
      <c r="J7" s="323"/>
      <c r="K7" s="323"/>
      <c r="L7" s="323"/>
      <c r="M7" s="324"/>
      <c r="N7" s="325" t="s">
        <v>9</v>
      </c>
    </row>
    <row r="8" spans="1:17" s="71" customFormat="1" ht="21.75" customHeight="1" x14ac:dyDescent="0.25">
      <c r="A8" s="326"/>
      <c r="B8" s="326"/>
      <c r="C8" s="326"/>
      <c r="D8" s="326"/>
      <c r="E8" s="326"/>
      <c r="F8" s="326"/>
      <c r="G8" s="72" t="s">
        <v>10</v>
      </c>
      <c r="H8" s="73">
        <v>2020</v>
      </c>
      <c r="I8" s="74">
        <v>2021</v>
      </c>
      <c r="J8" s="73">
        <v>2022</v>
      </c>
      <c r="K8" s="73">
        <v>2023</v>
      </c>
      <c r="L8" s="73">
        <v>2024</v>
      </c>
      <c r="M8" s="73">
        <v>2025</v>
      </c>
      <c r="N8" s="326"/>
    </row>
    <row r="9" spans="1:17" s="58" customFormat="1" ht="21.75" customHeight="1" x14ac:dyDescent="0.25">
      <c r="A9" s="75">
        <v>1</v>
      </c>
      <c r="B9" s="76">
        <v>2</v>
      </c>
      <c r="C9" s="76">
        <v>3</v>
      </c>
      <c r="D9" s="76"/>
      <c r="E9" s="76">
        <v>4</v>
      </c>
      <c r="F9" s="76">
        <v>5</v>
      </c>
      <c r="G9" s="77">
        <v>6</v>
      </c>
      <c r="H9" s="77">
        <v>9</v>
      </c>
      <c r="I9" s="77">
        <v>10</v>
      </c>
      <c r="J9" s="77">
        <v>10</v>
      </c>
      <c r="K9" s="77">
        <v>9</v>
      </c>
      <c r="L9" s="77">
        <v>10</v>
      </c>
      <c r="M9" s="77">
        <v>10</v>
      </c>
      <c r="N9" s="78">
        <v>11</v>
      </c>
    </row>
    <row r="10" spans="1:17" ht="30.75" customHeight="1" x14ac:dyDescent="0.25">
      <c r="A10" s="238"/>
      <c r="B10" s="327" t="s">
        <v>146</v>
      </c>
      <c r="C10" s="244" t="s">
        <v>11</v>
      </c>
      <c r="D10" s="279" t="s">
        <v>12</v>
      </c>
      <c r="E10" s="244" t="s">
        <v>153</v>
      </c>
      <c r="F10" s="79" t="s">
        <v>14</v>
      </c>
      <c r="G10" s="80">
        <f t="shared" ref="G10:M10" si="2">G11+G12+G13</f>
        <v>5189174374.1599998</v>
      </c>
      <c r="H10" s="80">
        <f t="shared" si="2"/>
        <v>902432622.35000002</v>
      </c>
      <c r="I10" s="80">
        <f t="shared" si="2"/>
        <v>991516352.55999994</v>
      </c>
      <c r="J10" s="80">
        <f t="shared" si="2"/>
        <v>1053096145.1899999</v>
      </c>
      <c r="K10" s="80">
        <f t="shared" si="2"/>
        <v>1108075911.8699999</v>
      </c>
      <c r="L10" s="80">
        <f>L11+L12+L13</f>
        <v>1126127747.6700001</v>
      </c>
      <c r="M10" s="80">
        <f t="shared" si="2"/>
        <v>1134053342.1900001</v>
      </c>
      <c r="N10" s="330"/>
      <c r="O10" s="61"/>
    </row>
    <row r="11" spans="1:17" ht="30.75" customHeight="1" x14ac:dyDescent="0.25">
      <c r="A11" s="239"/>
      <c r="B11" s="328"/>
      <c r="C11" s="245"/>
      <c r="D11" s="285"/>
      <c r="E11" s="245"/>
      <c r="F11" s="79" t="s">
        <v>133</v>
      </c>
      <c r="G11" s="80">
        <f>H11+I11+J11+K11+M11</f>
        <v>1348061248.3299999</v>
      </c>
      <c r="H11" s="81">
        <f t="shared" ref="H11:M13" si="3">H15+H35+H99+H127</f>
        <v>230451855.84</v>
      </c>
      <c r="I11" s="81">
        <f t="shared" si="3"/>
        <v>245028859.64000005</v>
      </c>
      <c r="J11" s="81">
        <f t="shared" si="3"/>
        <v>273217094.64000005</v>
      </c>
      <c r="K11" s="81">
        <f t="shared" si="3"/>
        <v>301909634.28999996</v>
      </c>
      <c r="L11" s="81">
        <f t="shared" si="3"/>
        <v>295069013.06999999</v>
      </c>
      <c r="M11" s="81">
        <f t="shared" si="3"/>
        <v>297453803.91999996</v>
      </c>
      <c r="N11" s="331"/>
      <c r="O11" s="61"/>
    </row>
    <row r="12" spans="1:17" ht="30.75" customHeight="1" x14ac:dyDescent="0.25">
      <c r="A12" s="239"/>
      <c r="B12" s="328"/>
      <c r="C12" s="245"/>
      <c r="D12" s="285"/>
      <c r="E12" s="245"/>
      <c r="F12" s="79" t="s">
        <v>16</v>
      </c>
      <c r="G12" s="80">
        <f>H12+I12+J12+K12+M12</f>
        <v>3638600074.9399996</v>
      </c>
      <c r="H12" s="81">
        <f t="shared" si="3"/>
        <v>655000266.50999999</v>
      </c>
      <c r="I12" s="81">
        <f t="shared" si="3"/>
        <v>701159642.91999996</v>
      </c>
      <c r="J12" s="81">
        <f t="shared" si="3"/>
        <v>733922349.65999997</v>
      </c>
      <c r="K12" s="81">
        <f t="shared" si="3"/>
        <v>758571367.58000004</v>
      </c>
      <c r="L12" s="81">
        <f t="shared" si="3"/>
        <v>783630644.60000002</v>
      </c>
      <c r="M12" s="81">
        <f t="shared" si="3"/>
        <v>789946448.26999998</v>
      </c>
      <c r="N12" s="331"/>
      <c r="O12" s="61"/>
    </row>
    <row r="13" spans="1:17" ht="30.75" customHeight="1" x14ac:dyDescent="0.25">
      <c r="A13" s="240"/>
      <c r="B13" s="329"/>
      <c r="C13" s="246"/>
      <c r="D13" s="286"/>
      <c r="E13" s="246"/>
      <c r="F13" s="79" t="s">
        <v>17</v>
      </c>
      <c r="G13" s="80">
        <f>H13+I13+J13+K13+M13</f>
        <v>202513050.88999999</v>
      </c>
      <c r="H13" s="81">
        <f t="shared" si="3"/>
        <v>16980500</v>
      </c>
      <c r="I13" s="81">
        <f t="shared" si="3"/>
        <v>45327850</v>
      </c>
      <c r="J13" s="81">
        <f t="shared" si="3"/>
        <v>45956700.890000001</v>
      </c>
      <c r="K13" s="81">
        <f t="shared" si="3"/>
        <v>47594910</v>
      </c>
      <c r="L13" s="81">
        <f t="shared" si="3"/>
        <v>47428090</v>
      </c>
      <c r="M13" s="81">
        <f t="shared" si="3"/>
        <v>46653090</v>
      </c>
      <c r="N13" s="332"/>
      <c r="O13" s="61"/>
    </row>
    <row r="14" spans="1:17" ht="21.75" customHeight="1" x14ac:dyDescent="0.25">
      <c r="A14" s="317"/>
      <c r="B14" s="319" t="s">
        <v>19</v>
      </c>
      <c r="C14" s="305" t="s">
        <v>11</v>
      </c>
      <c r="D14" s="308" t="s">
        <v>12</v>
      </c>
      <c r="E14" s="305" t="s">
        <v>153</v>
      </c>
      <c r="F14" s="82" t="s">
        <v>14</v>
      </c>
      <c r="G14" s="83">
        <f t="shared" ref="G14:M14" si="4">G15+G16+G17</f>
        <v>1669113553.77</v>
      </c>
      <c r="H14" s="83">
        <f t="shared" si="4"/>
        <v>300538053.05000001</v>
      </c>
      <c r="I14" s="83">
        <f t="shared" si="4"/>
        <v>317314159.79000002</v>
      </c>
      <c r="J14" s="83">
        <f t="shared" si="4"/>
        <v>337089422.34000003</v>
      </c>
      <c r="K14" s="83">
        <f t="shared" si="4"/>
        <v>352835781.54000002</v>
      </c>
      <c r="L14" s="83">
        <f>L15+L16+L17</f>
        <v>357816487.05000001</v>
      </c>
      <c r="M14" s="83">
        <f t="shared" si="4"/>
        <v>361336137.05000001</v>
      </c>
      <c r="N14" s="258" t="s">
        <v>20</v>
      </c>
      <c r="O14" s="61"/>
    </row>
    <row r="15" spans="1:17" ht="21.75" customHeight="1" x14ac:dyDescent="0.25">
      <c r="A15" s="318"/>
      <c r="B15" s="320"/>
      <c r="C15" s="306"/>
      <c r="D15" s="309"/>
      <c r="E15" s="306"/>
      <c r="F15" s="82" t="s">
        <v>133</v>
      </c>
      <c r="G15" s="83">
        <f>H15+I15+J15+K15+M15</f>
        <v>536168214.35000002</v>
      </c>
      <c r="H15" s="84">
        <f t="shared" ref="H15:M17" si="5">H19+H23+H27+H31</f>
        <v>96147672.620000005</v>
      </c>
      <c r="I15" s="84">
        <f t="shared" si="5"/>
        <v>99727111.450000003</v>
      </c>
      <c r="J15" s="84">
        <f>J19+J23+J27+J31</f>
        <v>106478462.18000001</v>
      </c>
      <c r="K15" s="84">
        <f t="shared" si="5"/>
        <v>116907484.05</v>
      </c>
      <c r="L15" s="84">
        <f>L19+L23+L27+L31</f>
        <v>115907484.05</v>
      </c>
      <c r="M15" s="84">
        <f t="shared" si="5"/>
        <v>116907484.05</v>
      </c>
      <c r="N15" s="259"/>
      <c r="O15" s="61"/>
    </row>
    <row r="16" spans="1:17" ht="21.75" customHeight="1" x14ac:dyDescent="0.25">
      <c r="A16" s="318"/>
      <c r="B16" s="320"/>
      <c r="C16" s="306"/>
      <c r="D16" s="309"/>
      <c r="E16" s="306"/>
      <c r="F16" s="82" t="s">
        <v>16</v>
      </c>
      <c r="G16" s="83">
        <f>H16+I16+J16+K16+M16</f>
        <v>1132945339.4200001</v>
      </c>
      <c r="H16" s="84">
        <f t="shared" si="5"/>
        <v>204390380.43000001</v>
      </c>
      <c r="I16" s="84">
        <f t="shared" si="5"/>
        <v>217587048.34</v>
      </c>
      <c r="J16" s="84">
        <f>J20+J24+J28+J32</f>
        <v>230610960.16</v>
      </c>
      <c r="K16" s="84">
        <f t="shared" si="5"/>
        <v>235928297.49000001</v>
      </c>
      <c r="L16" s="84">
        <f>L20+L24+L28+L32</f>
        <v>241909003</v>
      </c>
      <c r="M16" s="84">
        <f t="shared" si="5"/>
        <v>244428653</v>
      </c>
      <c r="N16" s="259"/>
      <c r="O16" s="61"/>
    </row>
    <row r="17" spans="1:18" ht="21.75" customHeight="1" x14ac:dyDescent="0.25">
      <c r="A17" s="318"/>
      <c r="B17" s="320"/>
      <c r="C17" s="306"/>
      <c r="D17" s="310"/>
      <c r="E17" s="306"/>
      <c r="F17" s="82" t="s">
        <v>17</v>
      </c>
      <c r="G17" s="83">
        <f>H17+I17+J17+K17+M17</f>
        <v>0</v>
      </c>
      <c r="H17" s="84">
        <f t="shared" si="5"/>
        <v>0</v>
      </c>
      <c r="I17" s="84">
        <f t="shared" si="5"/>
        <v>0</v>
      </c>
      <c r="J17" s="84">
        <f t="shared" si="5"/>
        <v>0</v>
      </c>
      <c r="K17" s="84">
        <f t="shared" si="5"/>
        <v>0</v>
      </c>
      <c r="L17" s="84">
        <f>L21+L25+L29+L33</f>
        <v>0</v>
      </c>
      <c r="M17" s="84">
        <f t="shared" si="5"/>
        <v>0</v>
      </c>
      <c r="N17" s="259"/>
      <c r="O17" s="61"/>
    </row>
    <row r="18" spans="1:18" ht="21.75" customHeight="1" x14ac:dyDescent="0.25">
      <c r="A18" s="321" t="s">
        <v>18</v>
      </c>
      <c r="B18" s="311" t="s">
        <v>21</v>
      </c>
      <c r="C18" s="253" t="s">
        <v>11</v>
      </c>
      <c r="D18" s="268" t="s">
        <v>12</v>
      </c>
      <c r="E18" s="253" t="s">
        <v>153</v>
      </c>
      <c r="F18" s="85" t="s">
        <v>14</v>
      </c>
      <c r="G18" s="86">
        <f t="shared" ref="G18:M18" si="6">G19+G20+G21</f>
        <v>1522431756.1000001</v>
      </c>
      <c r="H18" s="86">
        <f t="shared" si="6"/>
        <v>271519528.05000001</v>
      </c>
      <c r="I18" s="86">
        <f t="shared" si="6"/>
        <v>286861735.72000003</v>
      </c>
      <c r="J18" s="87">
        <f t="shared" si="6"/>
        <v>302324793.74000001</v>
      </c>
      <c r="K18" s="86">
        <f t="shared" si="6"/>
        <v>326189831.54000002</v>
      </c>
      <c r="L18" s="86">
        <f>L19+L20+L21</f>
        <v>329935057.05000001</v>
      </c>
      <c r="M18" s="86">
        <f t="shared" si="6"/>
        <v>335535867.05000001</v>
      </c>
      <c r="N18" s="259"/>
      <c r="O18" s="61"/>
    </row>
    <row r="19" spans="1:18" ht="21.75" customHeight="1" x14ac:dyDescent="0.25">
      <c r="A19" s="248"/>
      <c r="B19" s="312"/>
      <c r="C19" s="254"/>
      <c r="D19" s="269"/>
      <c r="E19" s="254"/>
      <c r="F19" s="85" t="s">
        <v>133</v>
      </c>
      <c r="G19" s="86">
        <f>H19+I19+J19+K19+M19</f>
        <v>532256284.19000006</v>
      </c>
      <c r="H19" s="86">
        <v>95367218.620000005</v>
      </c>
      <c r="I19" s="86">
        <f>98500729.44+251771.78</f>
        <v>98752501.219999999</v>
      </c>
      <c r="J19" s="87">
        <v>105878296.25</v>
      </c>
      <c r="K19" s="86">
        <v>116129134.05</v>
      </c>
      <c r="L19" s="86">
        <v>115129134.05</v>
      </c>
      <c r="M19" s="86">
        <v>116129134.05</v>
      </c>
      <c r="N19" s="259"/>
      <c r="O19" s="61"/>
    </row>
    <row r="20" spans="1:18" ht="21.75" customHeight="1" x14ac:dyDescent="0.25">
      <c r="A20" s="248"/>
      <c r="B20" s="312"/>
      <c r="C20" s="254"/>
      <c r="D20" s="269"/>
      <c r="E20" s="254"/>
      <c r="F20" s="85" t="s">
        <v>16</v>
      </c>
      <c r="G20" s="86">
        <f>H20+I20+J20+K20+M20</f>
        <v>990175471.91000009</v>
      </c>
      <c r="H20" s="86">
        <f>176152309.43</f>
        <v>176152309.43000001</v>
      </c>
      <c r="I20" s="86">
        <f>188109234.5</f>
        <v>188109234.5</v>
      </c>
      <c r="J20" s="87">
        <f>193465907+2980590.49</f>
        <v>196446497.49000001</v>
      </c>
      <c r="K20" s="86">
        <f>'[16]СРБ на план. период_1'!$T$22</f>
        <v>210060697.49000001</v>
      </c>
      <c r="L20" s="86">
        <v>214805923</v>
      </c>
      <c r="M20" s="86">
        <v>219406733</v>
      </c>
      <c r="N20" s="259"/>
      <c r="O20" s="61"/>
    </row>
    <row r="21" spans="1:18" ht="21.75" customHeight="1" x14ac:dyDescent="0.25">
      <c r="A21" s="248"/>
      <c r="B21" s="312"/>
      <c r="C21" s="254"/>
      <c r="D21" s="270"/>
      <c r="E21" s="254"/>
      <c r="F21" s="85" t="s">
        <v>17</v>
      </c>
      <c r="G21" s="86">
        <f>H21+I21+J21+K21+M21</f>
        <v>0</v>
      </c>
      <c r="H21" s="86">
        <v>0</v>
      </c>
      <c r="I21" s="86">
        <v>0</v>
      </c>
      <c r="J21" s="87">
        <v>0</v>
      </c>
      <c r="K21" s="86">
        <v>0</v>
      </c>
      <c r="L21" s="86">
        <v>0</v>
      </c>
      <c r="M21" s="86"/>
      <c r="N21" s="259"/>
      <c r="O21" s="61"/>
    </row>
    <row r="22" spans="1:18" ht="21.75" customHeight="1" x14ac:dyDescent="0.25">
      <c r="A22" s="247" t="s">
        <v>128</v>
      </c>
      <c r="B22" s="311" t="s">
        <v>22</v>
      </c>
      <c r="C22" s="253" t="s">
        <v>11</v>
      </c>
      <c r="D22" s="268" t="s">
        <v>12</v>
      </c>
      <c r="E22" s="253" t="s">
        <v>153</v>
      </c>
      <c r="F22" s="85" t="s">
        <v>14</v>
      </c>
      <c r="G22" s="86">
        <f t="shared" ref="G22:M22" si="7">G23+G24+G25</f>
        <v>3911930.16</v>
      </c>
      <c r="H22" s="86">
        <f t="shared" si="7"/>
        <v>780454</v>
      </c>
      <c r="I22" s="86">
        <f t="shared" si="7"/>
        <v>974610.2300000001</v>
      </c>
      <c r="J22" s="87">
        <f t="shared" si="7"/>
        <v>600165.93000000005</v>
      </c>
      <c r="K22" s="86">
        <f t="shared" si="7"/>
        <v>778350</v>
      </c>
      <c r="L22" s="86">
        <f>L23+L24+L25</f>
        <v>778350</v>
      </c>
      <c r="M22" s="86">
        <f t="shared" si="7"/>
        <v>778350</v>
      </c>
      <c r="N22" s="259"/>
      <c r="O22" s="61"/>
    </row>
    <row r="23" spans="1:18" ht="21.75" customHeight="1" x14ac:dyDescent="0.25">
      <c r="A23" s="248"/>
      <c r="B23" s="312"/>
      <c r="C23" s="254"/>
      <c r="D23" s="269"/>
      <c r="E23" s="254"/>
      <c r="F23" s="85" t="s">
        <v>133</v>
      </c>
      <c r="G23" s="86">
        <f>H23+I23+J23+K23+M23</f>
        <v>3911930.16</v>
      </c>
      <c r="H23" s="86">
        <v>780454</v>
      </c>
      <c r="I23" s="86">
        <f>858767.75+78575.57+37266.91</f>
        <v>974610.2300000001</v>
      </c>
      <c r="J23" s="87">
        <v>600165.93000000005</v>
      </c>
      <c r="K23" s="86">
        <v>778350</v>
      </c>
      <c r="L23" s="86">
        <v>778350</v>
      </c>
      <c r="M23" s="86">
        <v>778350</v>
      </c>
      <c r="N23" s="259"/>
      <c r="O23" s="61"/>
      <c r="R23" s="61"/>
    </row>
    <row r="24" spans="1:18" ht="21.75" customHeight="1" x14ac:dyDescent="0.25">
      <c r="A24" s="248"/>
      <c r="B24" s="312"/>
      <c r="C24" s="254"/>
      <c r="D24" s="269"/>
      <c r="E24" s="254"/>
      <c r="F24" s="85" t="s">
        <v>16</v>
      </c>
      <c r="G24" s="86">
        <f>H24+I24+J24+K24+M24</f>
        <v>0</v>
      </c>
      <c r="H24" s="86">
        <v>0</v>
      </c>
      <c r="I24" s="86">
        <v>0</v>
      </c>
      <c r="J24" s="87">
        <v>0</v>
      </c>
      <c r="K24" s="86">
        <v>0</v>
      </c>
      <c r="L24" s="86">
        <v>0</v>
      </c>
      <c r="M24" s="86"/>
      <c r="N24" s="259"/>
      <c r="O24" s="61"/>
    </row>
    <row r="25" spans="1:18" ht="21.75" customHeight="1" x14ac:dyDescent="0.25">
      <c r="A25" s="249"/>
      <c r="B25" s="313"/>
      <c r="C25" s="254"/>
      <c r="D25" s="270"/>
      <c r="E25" s="255"/>
      <c r="F25" s="85" t="s">
        <v>17</v>
      </c>
      <c r="G25" s="86">
        <f>H25+I25+J25+K25+M25</f>
        <v>0</v>
      </c>
      <c r="H25" s="86">
        <v>0</v>
      </c>
      <c r="I25" s="86">
        <v>0</v>
      </c>
      <c r="J25" s="87">
        <v>0</v>
      </c>
      <c r="K25" s="86">
        <v>0</v>
      </c>
      <c r="L25" s="86">
        <v>0</v>
      </c>
      <c r="M25" s="86"/>
      <c r="N25" s="259"/>
      <c r="O25" s="61"/>
    </row>
    <row r="26" spans="1:18" ht="21.75" customHeight="1" x14ac:dyDescent="0.25">
      <c r="A26" s="247" t="s">
        <v>144</v>
      </c>
      <c r="B26" s="311" t="s">
        <v>23</v>
      </c>
      <c r="C26" s="253" t="s">
        <v>11</v>
      </c>
      <c r="D26" s="268" t="s">
        <v>12</v>
      </c>
      <c r="E26" s="253" t="s">
        <v>153</v>
      </c>
      <c r="F26" s="85" t="s">
        <v>14</v>
      </c>
      <c r="G26" s="86">
        <f t="shared" ref="G26:M26" si="8">G27+G28+G29</f>
        <v>92247853.590000004</v>
      </c>
      <c r="H26" s="86">
        <f t="shared" si="8"/>
        <v>18787671</v>
      </c>
      <c r="I26" s="86">
        <f t="shared" si="8"/>
        <v>19609249.84</v>
      </c>
      <c r="J26" s="87">
        <f t="shared" si="8"/>
        <v>21497572.75</v>
      </c>
      <c r="K26" s="86">
        <f t="shared" si="8"/>
        <v>17322000</v>
      </c>
      <c r="L26" s="86">
        <f>L27+L28+L29</f>
        <v>18450000</v>
      </c>
      <c r="M26" s="86">
        <f t="shared" si="8"/>
        <v>15031360</v>
      </c>
      <c r="N26" s="259"/>
      <c r="O26" s="61"/>
    </row>
    <row r="27" spans="1:18" ht="21.75" customHeight="1" x14ac:dyDescent="0.25">
      <c r="A27" s="248"/>
      <c r="B27" s="312"/>
      <c r="C27" s="254"/>
      <c r="D27" s="269"/>
      <c r="E27" s="254"/>
      <c r="F27" s="85" t="s">
        <v>133</v>
      </c>
      <c r="G27" s="86">
        <f>H27+I27+J27+K27+M27</f>
        <v>0</v>
      </c>
      <c r="H27" s="86">
        <v>0</v>
      </c>
      <c r="I27" s="86">
        <v>0</v>
      </c>
      <c r="J27" s="87">
        <v>0</v>
      </c>
      <c r="K27" s="86">
        <v>0</v>
      </c>
      <c r="L27" s="86">
        <v>0</v>
      </c>
      <c r="M27" s="86">
        <v>0</v>
      </c>
      <c r="N27" s="259"/>
      <c r="O27" s="61"/>
    </row>
    <row r="28" spans="1:18" ht="21.75" customHeight="1" x14ac:dyDescent="0.25">
      <c r="A28" s="248"/>
      <c r="B28" s="312"/>
      <c r="C28" s="254"/>
      <c r="D28" s="269"/>
      <c r="E28" s="254"/>
      <c r="F28" s="85" t="s">
        <v>16</v>
      </c>
      <c r="G28" s="86">
        <f>H28+I28+J28+K28+M28</f>
        <v>92247853.590000004</v>
      </c>
      <c r="H28" s="86">
        <v>18787671</v>
      </c>
      <c r="I28" s="86">
        <v>19609249.84</v>
      </c>
      <c r="J28" s="87">
        <f>'[2]остатки средств в ФК_8'!$R$19</f>
        <v>21497572.75</v>
      </c>
      <c r="K28" s="86">
        <v>17322000</v>
      </c>
      <c r="L28" s="86">
        <v>18450000</v>
      </c>
      <c r="M28" s="86">
        <f>'[16]СРБ на план. период_1'!$V$16</f>
        <v>15031360</v>
      </c>
      <c r="N28" s="259"/>
      <c r="O28" s="61"/>
    </row>
    <row r="29" spans="1:18" ht="21.75" customHeight="1" x14ac:dyDescent="0.25">
      <c r="A29" s="249"/>
      <c r="B29" s="313"/>
      <c r="C29" s="254"/>
      <c r="D29" s="270"/>
      <c r="E29" s="255"/>
      <c r="F29" s="85" t="s">
        <v>17</v>
      </c>
      <c r="G29" s="86">
        <f>H29+I29+J29+K29+M29</f>
        <v>0</v>
      </c>
      <c r="H29" s="86">
        <v>0</v>
      </c>
      <c r="I29" s="86">
        <v>0</v>
      </c>
      <c r="J29" s="87">
        <v>0</v>
      </c>
      <c r="K29" s="86">
        <v>0</v>
      </c>
      <c r="L29" s="86">
        <v>0</v>
      </c>
      <c r="M29" s="86">
        <v>0</v>
      </c>
      <c r="N29" s="259"/>
      <c r="P29" s="61"/>
    </row>
    <row r="30" spans="1:18" ht="21.75" customHeight="1" x14ac:dyDescent="0.25">
      <c r="A30" s="247" t="s">
        <v>145</v>
      </c>
      <c r="B30" s="311" t="s">
        <v>24</v>
      </c>
      <c r="C30" s="253" t="s">
        <v>11</v>
      </c>
      <c r="D30" s="268" t="s">
        <v>12</v>
      </c>
      <c r="E30" s="253" t="s">
        <v>153</v>
      </c>
      <c r="F30" s="85" t="s">
        <v>14</v>
      </c>
      <c r="G30" s="86">
        <f t="shared" ref="G30:M30" si="9">G31+G32+G33</f>
        <v>50522013.920000002</v>
      </c>
      <c r="H30" s="86">
        <f t="shared" si="9"/>
        <v>9450400</v>
      </c>
      <c r="I30" s="86">
        <f t="shared" si="9"/>
        <v>9868564</v>
      </c>
      <c r="J30" s="87">
        <f t="shared" si="9"/>
        <v>12666889.92</v>
      </c>
      <c r="K30" s="86">
        <f t="shared" si="9"/>
        <v>8545600</v>
      </c>
      <c r="L30" s="86">
        <f>L31+L32+L33</f>
        <v>8653080</v>
      </c>
      <c r="M30" s="86">
        <f t="shared" si="9"/>
        <v>9990560</v>
      </c>
      <c r="N30" s="259"/>
      <c r="O30" s="61"/>
    </row>
    <row r="31" spans="1:18" ht="21.75" customHeight="1" x14ac:dyDescent="0.25">
      <c r="A31" s="248"/>
      <c r="B31" s="312"/>
      <c r="C31" s="254"/>
      <c r="D31" s="269"/>
      <c r="E31" s="254"/>
      <c r="F31" s="85" t="s">
        <v>133</v>
      </c>
      <c r="G31" s="86">
        <f>H31+I31+J31+K31+M31</f>
        <v>0</v>
      </c>
      <c r="H31" s="86">
        <v>0</v>
      </c>
      <c r="I31" s="86">
        <v>0</v>
      </c>
      <c r="J31" s="87">
        <v>0</v>
      </c>
      <c r="K31" s="86">
        <v>0</v>
      </c>
      <c r="L31" s="86">
        <v>0</v>
      </c>
      <c r="M31" s="86">
        <v>0</v>
      </c>
      <c r="N31" s="259"/>
    </row>
    <row r="32" spans="1:18" ht="21.75" customHeight="1" x14ac:dyDescent="0.25">
      <c r="A32" s="248"/>
      <c r="B32" s="312"/>
      <c r="C32" s="254"/>
      <c r="D32" s="269"/>
      <c r="E32" s="254"/>
      <c r="F32" s="85" t="s">
        <v>16</v>
      </c>
      <c r="G32" s="86">
        <f>H32+I32+J32+K32+M32</f>
        <v>50522013.920000002</v>
      </c>
      <c r="H32" s="86">
        <v>9450400</v>
      </c>
      <c r="I32" s="86">
        <v>9868564</v>
      </c>
      <c r="J32" s="87">
        <v>12666889.92</v>
      </c>
      <c r="K32" s="86">
        <v>8545600</v>
      </c>
      <c r="L32" s="86">
        <v>8653080</v>
      </c>
      <c r="M32" s="86">
        <v>9990560</v>
      </c>
      <c r="N32" s="259"/>
    </row>
    <row r="33" spans="1:41" ht="21.75" customHeight="1" x14ac:dyDescent="0.25">
      <c r="A33" s="249"/>
      <c r="B33" s="313"/>
      <c r="C33" s="254"/>
      <c r="D33" s="270"/>
      <c r="E33" s="255"/>
      <c r="F33" s="85" t="s">
        <v>17</v>
      </c>
      <c r="G33" s="86">
        <f>H33+I33+J33+K33+M33</f>
        <v>0</v>
      </c>
      <c r="H33" s="86">
        <v>0</v>
      </c>
      <c r="I33" s="86">
        <v>0</v>
      </c>
      <c r="J33" s="87">
        <v>0</v>
      </c>
      <c r="K33" s="86">
        <v>0</v>
      </c>
      <c r="L33" s="86">
        <v>0</v>
      </c>
      <c r="M33" s="86">
        <v>0</v>
      </c>
      <c r="N33" s="284"/>
      <c r="P33" s="61"/>
    </row>
    <row r="34" spans="1:41" ht="21.75" customHeight="1" x14ac:dyDescent="0.25">
      <c r="A34" s="299"/>
      <c r="B34" s="302" t="s">
        <v>26</v>
      </c>
      <c r="C34" s="305" t="s">
        <v>11</v>
      </c>
      <c r="D34" s="308" t="s">
        <v>27</v>
      </c>
      <c r="E34" s="305" t="s">
        <v>153</v>
      </c>
      <c r="F34" s="82" t="s">
        <v>14</v>
      </c>
      <c r="G34" s="83">
        <f t="shared" ref="G34:M34" si="10">G35+G36+G37</f>
        <v>2905831009.27</v>
      </c>
      <c r="H34" s="83">
        <f t="shared" si="10"/>
        <v>505658629.72000003</v>
      </c>
      <c r="I34" s="83">
        <f t="shared" si="10"/>
        <v>557839719.20000005</v>
      </c>
      <c r="J34" s="83">
        <f t="shared" si="10"/>
        <v>591237067.14999998</v>
      </c>
      <c r="K34" s="83">
        <f t="shared" si="10"/>
        <v>615906606.97000003</v>
      </c>
      <c r="L34" s="83">
        <f>L35+L36+L37</f>
        <v>631197752.25999999</v>
      </c>
      <c r="M34" s="83">
        <f t="shared" si="10"/>
        <v>635188986.23000002</v>
      </c>
      <c r="N34" s="258" t="s">
        <v>28</v>
      </c>
    </row>
    <row r="35" spans="1:41" ht="21.75" customHeight="1" x14ac:dyDescent="0.25">
      <c r="A35" s="300"/>
      <c r="B35" s="303"/>
      <c r="C35" s="306"/>
      <c r="D35" s="309"/>
      <c r="E35" s="306"/>
      <c r="F35" s="82" t="s">
        <v>133</v>
      </c>
      <c r="G35" s="83">
        <f>H35+I35+J35+K35+M35</f>
        <v>684024284.77999997</v>
      </c>
      <c r="H35" s="83">
        <f t="shared" ref="H35:M37" si="11">H39+H43+H47+H51+H83+H87+H91+H71+H75+H79+H55+H59+H63+H67</f>
        <v>114137373.15000001</v>
      </c>
      <c r="I35" s="83">
        <f t="shared" si="11"/>
        <v>124208329.39000002</v>
      </c>
      <c r="J35" s="83">
        <f t="shared" si="11"/>
        <v>140136671.78</v>
      </c>
      <c r="K35" s="83">
        <f t="shared" si="11"/>
        <v>152902758.22999999</v>
      </c>
      <c r="L35" s="83">
        <f t="shared" si="11"/>
        <v>151153056.25999999</v>
      </c>
      <c r="M35" s="83">
        <f t="shared" si="11"/>
        <v>152639152.22999996</v>
      </c>
      <c r="N35" s="259"/>
      <c r="AO35" s="61">
        <f>SUM('на 01.04'!$G$34:$AN$93)</f>
        <v>25780255851.199997</v>
      </c>
    </row>
    <row r="36" spans="1:41" ht="21.75" customHeight="1" x14ac:dyDescent="0.25">
      <c r="A36" s="300"/>
      <c r="B36" s="303"/>
      <c r="C36" s="306"/>
      <c r="D36" s="309"/>
      <c r="E36" s="306"/>
      <c r="F36" s="82" t="s">
        <v>16</v>
      </c>
      <c r="G36" s="83">
        <f>H36+I36+J36+K36+M36</f>
        <v>2088146424.49</v>
      </c>
      <c r="H36" s="83">
        <f t="shared" si="11"/>
        <v>380939856.56999999</v>
      </c>
      <c r="I36" s="83">
        <f t="shared" si="11"/>
        <v>402852039.81</v>
      </c>
      <c r="J36" s="83">
        <f t="shared" si="11"/>
        <v>419990345.37</v>
      </c>
      <c r="K36" s="83">
        <f t="shared" si="11"/>
        <v>432598338.74000001</v>
      </c>
      <c r="L36" s="83">
        <f t="shared" si="11"/>
        <v>449260706</v>
      </c>
      <c r="M36" s="83">
        <f t="shared" si="11"/>
        <v>451765844</v>
      </c>
      <c r="N36" s="259"/>
      <c r="AO36" s="61">
        <f>SUM('на 01.04'!$G$34:$AN$93)</f>
        <v>25780255851.199997</v>
      </c>
    </row>
    <row r="37" spans="1:41" ht="21.75" customHeight="1" x14ac:dyDescent="0.25">
      <c r="A37" s="301"/>
      <c r="B37" s="304"/>
      <c r="C37" s="307"/>
      <c r="D37" s="310"/>
      <c r="E37" s="307"/>
      <c r="F37" s="82" t="s">
        <v>17</v>
      </c>
      <c r="G37" s="83">
        <f>H37+I37+J37+K37+M37</f>
        <v>133660300</v>
      </c>
      <c r="H37" s="83">
        <f t="shared" si="11"/>
        <v>10581400</v>
      </c>
      <c r="I37" s="83">
        <f t="shared" si="11"/>
        <v>30779350</v>
      </c>
      <c r="J37" s="83">
        <f t="shared" si="11"/>
        <v>31110050</v>
      </c>
      <c r="K37" s="83">
        <f t="shared" si="11"/>
        <v>30405510</v>
      </c>
      <c r="L37" s="83">
        <f t="shared" si="11"/>
        <v>30783990</v>
      </c>
      <c r="M37" s="83">
        <f t="shared" si="11"/>
        <v>30783990</v>
      </c>
      <c r="N37" s="259"/>
      <c r="AO37" s="61">
        <f>SUM('на 01.04'!$G$34:$AN$93)</f>
        <v>25780255851.199997</v>
      </c>
    </row>
    <row r="38" spans="1:41" ht="21.75" hidden="1" customHeight="1" outlineLevel="1" x14ac:dyDescent="0.25">
      <c r="A38" s="247" t="s">
        <v>29</v>
      </c>
      <c r="B38" s="250" t="s">
        <v>30</v>
      </c>
      <c r="C38" s="253" t="s">
        <v>11</v>
      </c>
      <c r="D38" s="268" t="s">
        <v>27</v>
      </c>
      <c r="E38" s="253" t="s">
        <v>153</v>
      </c>
      <c r="F38" s="85" t="s">
        <v>14</v>
      </c>
      <c r="G38" s="86">
        <f t="shared" ref="G38:M38" si="12">G39+G40+G41</f>
        <v>0</v>
      </c>
      <c r="H38" s="86">
        <f t="shared" si="12"/>
        <v>0</v>
      </c>
      <c r="I38" s="86">
        <f t="shared" si="12"/>
        <v>0</v>
      </c>
      <c r="J38" s="87">
        <f t="shared" si="12"/>
        <v>0</v>
      </c>
      <c r="K38" s="86">
        <f t="shared" si="12"/>
        <v>0</v>
      </c>
      <c r="L38" s="86">
        <f>L39+L40+L41</f>
        <v>0</v>
      </c>
      <c r="M38" s="86">
        <f t="shared" si="12"/>
        <v>0</v>
      </c>
      <c r="N38" s="259"/>
      <c r="AO38" s="61">
        <f>SUM('на 01.04'!$G$34:$AN$93)</f>
        <v>25780255851.199997</v>
      </c>
    </row>
    <row r="39" spans="1:41" ht="21.75" hidden="1" customHeight="1" outlineLevel="1" x14ac:dyDescent="0.25">
      <c r="A39" s="248"/>
      <c r="B39" s="251"/>
      <c r="C39" s="254"/>
      <c r="D39" s="269"/>
      <c r="E39" s="254"/>
      <c r="F39" s="85" t="s">
        <v>133</v>
      </c>
      <c r="G39" s="86">
        <f>H39+I39+J39+K39+M39</f>
        <v>0</v>
      </c>
      <c r="H39" s="86">
        <v>0</v>
      </c>
      <c r="I39" s="86">
        <v>0</v>
      </c>
      <c r="J39" s="87">
        <v>0</v>
      </c>
      <c r="K39" s="86">
        <v>0</v>
      </c>
      <c r="L39" s="86">
        <v>0</v>
      </c>
      <c r="M39" s="86">
        <v>0</v>
      </c>
      <c r="N39" s="259"/>
      <c r="AO39" s="61">
        <f>SUM(AO35:AO38)</f>
        <v>103121023404.79999</v>
      </c>
    </row>
    <row r="40" spans="1:41" ht="21.75" hidden="1" customHeight="1" outlineLevel="1" x14ac:dyDescent="0.25">
      <c r="A40" s="248"/>
      <c r="B40" s="251"/>
      <c r="C40" s="254"/>
      <c r="D40" s="269"/>
      <c r="E40" s="254"/>
      <c r="F40" s="85" t="s">
        <v>16</v>
      </c>
      <c r="G40" s="86">
        <f>H40+I40+J40+K40+M40</f>
        <v>0</v>
      </c>
      <c r="H40" s="86"/>
      <c r="I40" s="86"/>
      <c r="J40" s="87"/>
      <c r="K40" s="86"/>
      <c r="L40" s="86"/>
      <c r="M40" s="86"/>
      <c r="N40" s="259"/>
    </row>
    <row r="41" spans="1:41" ht="21.75" hidden="1" customHeight="1" outlineLevel="1" x14ac:dyDescent="0.25">
      <c r="A41" s="249"/>
      <c r="B41" s="252"/>
      <c r="C41" s="254"/>
      <c r="D41" s="270"/>
      <c r="E41" s="255"/>
      <c r="F41" s="85" t="s">
        <v>17</v>
      </c>
      <c r="G41" s="86">
        <f>H41+I41+J41+K41+M41</f>
        <v>0</v>
      </c>
      <c r="H41" s="86">
        <v>0</v>
      </c>
      <c r="I41" s="86">
        <v>0</v>
      </c>
      <c r="J41" s="87">
        <v>0</v>
      </c>
      <c r="K41" s="86">
        <v>0</v>
      </c>
      <c r="L41" s="86">
        <v>0</v>
      </c>
      <c r="M41" s="86">
        <v>0</v>
      </c>
      <c r="N41" s="259"/>
      <c r="O41" s="61"/>
    </row>
    <row r="42" spans="1:41" ht="21.75" hidden="1" customHeight="1" outlineLevel="1" x14ac:dyDescent="0.25">
      <c r="A42" s="247" t="s">
        <v>31</v>
      </c>
      <c r="B42" s="250" t="s">
        <v>32</v>
      </c>
      <c r="C42" s="253" t="s">
        <v>11</v>
      </c>
      <c r="D42" s="268" t="s">
        <v>27</v>
      </c>
      <c r="E42" s="253" t="s">
        <v>153</v>
      </c>
      <c r="F42" s="85" t="s">
        <v>14</v>
      </c>
      <c r="G42" s="86">
        <f t="shared" ref="G42:M42" si="13">G43+G44+G45</f>
        <v>0</v>
      </c>
      <c r="H42" s="86">
        <f t="shared" si="13"/>
        <v>0</v>
      </c>
      <c r="I42" s="86">
        <f t="shared" si="13"/>
        <v>0</v>
      </c>
      <c r="J42" s="87">
        <f t="shared" si="13"/>
        <v>0</v>
      </c>
      <c r="K42" s="86">
        <f t="shared" si="13"/>
        <v>0</v>
      </c>
      <c r="L42" s="86">
        <f>L43+L44+L45</f>
        <v>0</v>
      </c>
      <c r="M42" s="86">
        <f t="shared" si="13"/>
        <v>0</v>
      </c>
      <c r="N42" s="259"/>
      <c r="P42" s="61"/>
    </row>
    <row r="43" spans="1:41" ht="21.75" hidden="1" customHeight="1" outlineLevel="1" x14ac:dyDescent="0.25">
      <c r="A43" s="248"/>
      <c r="B43" s="251"/>
      <c r="C43" s="254"/>
      <c r="D43" s="269"/>
      <c r="E43" s="254"/>
      <c r="F43" s="85" t="s">
        <v>133</v>
      </c>
      <c r="G43" s="86">
        <f>H43+I43+J43+K43+M43</f>
        <v>0</v>
      </c>
      <c r="H43" s="86">
        <v>0</v>
      </c>
      <c r="I43" s="86">
        <v>0</v>
      </c>
      <c r="J43" s="87">
        <v>0</v>
      </c>
      <c r="K43" s="86">
        <v>0</v>
      </c>
      <c r="L43" s="86">
        <v>0</v>
      </c>
      <c r="M43" s="86">
        <v>0</v>
      </c>
      <c r="N43" s="259"/>
    </row>
    <row r="44" spans="1:41" ht="21.75" hidden="1" customHeight="1" outlineLevel="1" x14ac:dyDescent="0.25">
      <c r="A44" s="248"/>
      <c r="B44" s="251"/>
      <c r="C44" s="254"/>
      <c r="D44" s="269"/>
      <c r="E44" s="254"/>
      <c r="F44" s="85" t="s">
        <v>16</v>
      </c>
      <c r="G44" s="86">
        <f>H44+I44+J44+K44+M44</f>
        <v>0</v>
      </c>
      <c r="H44" s="86"/>
      <c r="I44" s="86"/>
      <c r="J44" s="87"/>
      <c r="K44" s="86"/>
      <c r="L44" s="86"/>
      <c r="M44" s="86"/>
      <c r="N44" s="259"/>
      <c r="O44" s="88">
        <f>'[3]9 мес 2021'!$H$25-I44</f>
        <v>8816768</v>
      </c>
    </row>
    <row r="45" spans="1:41" ht="21.75" hidden="1" customHeight="1" outlineLevel="1" x14ac:dyDescent="0.25">
      <c r="A45" s="249"/>
      <c r="B45" s="252"/>
      <c r="C45" s="254"/>
      <c r="D45" s="270"/>
      <c r="E45" s="255"/>
      <c r="F45" s="85" t="s">
        <v>17</v>
      </c>
      <c r="G45" s="86">
        <f>H45+I45+J45+K45+M45</f>
        <v>0</v>
      </c>
      <c r="H45" s="86">
        <v>0</v>
      </c>
      <c r="I45" s="86">
        <v>0</v>
      </c>
      <c r="J45" s="87">
        <v>0</v>
      </c>
      <c r="K45" s="86">
        <v>0</v>
      </c>
      <c r="L45" s="86">
        <v>0</v>
      </c>
      <c r="M45" s="86">
        <v>0</v>
      </c>
      <c r="N45" s="259"/>
      <c r="O45" s="89"/>
    </row>
    <row r="46" spans="1:41" ht="21.75" hidden="1" customHeight="1" outlineLevel="1" x14ac:dyDescent="0.25">
      <c r="A46" s="247" t="s">
        <v>33</v>
      </c>
      <c r="B46" s="250" t="s">
        <v>34</v>
      </c>
      <c r="C46" s="253" t="s">
        <v>11</v>
      </c>
      <c r="D46" s="268" t="s">
        <v>27</v>
      </c>
      <c r="E46" s="253" t="s">
        <v>153</v>
      </c>
      <c r="F46" s="85" t="s">
        <v>14</v>
      </c>
      <c r="G46" s="86">
        <f t="shared" ref="G46:M46" si="14">G47+G48+G49</f>
        <v>0</v>
      </c>
      <c r="H46" s="86">
        <f t="shared" si="14"/>
        <v>0</v>
      </c>
      <c r="I46" s="86">
        <f t="shared" si="14"/>
        <v>0</v>
      </c>
      <c r="J46" s="87">
        <f t="shared" si="14"/>
        <v>0</v>
      </c>
      <c r="K46" s="86">
        <f t="shared" si="14"/>
        <v>0</v>
      </c>
      <c r="L46" s="86">
        <f>L47+L48+L49</f>
        <v>0</v>
      </c>
      <c r="M46" s="86">
        <f t="shared" si="14"/>
        <v>0</v>
      </c>
      <c r="N46" s="259"/>
      <c r="O46" s="89"/>
    </row>
    <row r="47" spans="1:41" ht="21.75" hidden="1" customHeight="1" outlineLevel="1" x14ac:dyDescent="0.25">
      <c r="A47" s="248"/>
      <c r="B47" s="251"/>
      <c r="C47" s="254"/>
      <c r="D47" s="269"/>
      <c r="E47" s="254"/>
      <c r="F47" s="85" t="s">
        <v>133</v>
      </c>
      <c r="G47" s="86">
        <f>H47+I47+J47+K47+M47</f>
        <v>0</v>
      </c>
      <c r="H47" s="86">
        <v>0</v>
      </c>
      <c r="I47" s="86">
        <v>0</v>
      </c>
      <c r="J47" s="87">
        <v>0</v>
      </c>
      <c r="K47" s="86">
        <v>0</v>
      </c>
      <c r="L47" s="86">
        <v>0</v>
      </c>
      <c r="M47" s="86">
        <v>0</v>
      </c>
      <c r="N47" s="259"/>
      <c r="O47" s="89"/>
    </row>
    <row r="48" spans="1:41" ht="21.75" hidden="1" customHeight="1" outlineLevel="1" x14ac:dyDescent="0.25">
      <c r="A48" s="248"/>
      <c r="B48" s="251"/>
      <c r="C48" s="254"/>
      <c r="D48" s="269"/>
      <c r="E48" s="254"/>
      <c r="F48" s="85" t="s">
        <v>16</v>
      </c>
      <c r="G48" s="86">
        <f>H48+I48+J48+K48+M48</f>
        <v>0</v>
      </c>
      <c r="H48" s="86"/>
      <c r="I48" s="86"/>
      <c r="J48" s="87"/>
      <c r="K48" s="86"/>
      <c r="L48" s="86"/>
      <c r="M48" s="86"/>
      <c r="N48" s="259"/>
      <c r="O48" s="88"/>
    </row>
    <row r="49" spans="1:16" ht="21.75" hidden="1" customHeight="1" outlineLevel="1" x14ac:dyDescent="0.25">
      <c r="A49" s="249"/>
      <c r="B49" s="252"/>
      <c r="C49" s="254"/>
      <c r="D49" s="270"/>
      <c r="E49" s="255"/>
      <c r="F49" s="85" t="s">
        <v>17</v>
      </c>
      <c r="G49" s="86">
        <f>H49+I49+J49+K49+M49</f>
        <v>0</v>
      </c>
      <c r="H49" s="86">
        <v>0</v>
      </c>
      <c r="I49" s="86">
        <v>0</v>
      </c>
      <c r="J49" s="87">
        <v>0</v>
      </c>
      <c r="K49" s="86">
        <v>0</v>
      </c>
      <c r="L49" s="86">
        <v>0</v>
      </c>
      <c r="M49" s="86">
        <v>0</v>
      </c>
      <c r="N49" s="259"/>
    </row>
    <row r="50" spans="1:16" ht="21.75" customHeight="1" collapsed="1" x14ac:dyDescent="0.25">
      <c r="A50" s="247" t="s">
        <v>18</v>
      </c>
      <c r="B50" s="311" t="s">
        <v>35</v>
      </c>
      <c r="C50" s="253" t="s">
        <v>11</v>
      </c>
      <c r="D50" s="268" t="s">
        <v>27</v>
      </c>
      <c r="E50" s="253" t="s">
        <v>153</v>
      </c>
      <c r="F50" s="85" t="s">
        <v>14</v>
      </c>
      <c r="G50" s="86">
        <f t="shared" ref="G50:M50" si="15">G51+G52+G53</f>
        <v>2601479064.29</v>
      </c>
      <c r="H50" s="86">
        <f t="shared" si="15"/>
        <v>470828018.72000003</v>
      </c>
      <c r="I50" s="86">
        <f t="shared" si="15"/>
        <v>487676039.38999999</v>
      </c>
      <c r="J50" s="87">
        <f t="shared" si="15"/>
        <v>517542710.49000001</v>
      </c>
      <c r="K50" s="86">
        <f t="shared" si="15"/>
        <v>551287039.10000002</v>
      </c>
      <c r="L50" s="86">
        <f>L51+L52+L53</f>
        <v>563780982.62</v>
      </c>
      <c r="M50" s="86">
        <f t="shared" si="15"/>
        <v>574145256.58999991</v>
      </c>
      <c r="N50" s="259"/>
      <c r="O50" s="61"/>
    </row>
    <row r="51" spans="1:16" ht="21.75" customHeight="1" x14ac:dyDescent="0.25">
      <c r="A51" s="248"/>
      <c r="B51" s="312"/>
      <c r="C51" s="254"/>
      <c r="D51" s="269"/>
      <c r="E51" s="254"/>
      <c r="F51" s="85" t="s">
        <v>133</v>
      </c>
      <c r="G51" s="86">
        <f>H51+I51+J51+K51+M51</f>
        <v>670442244.20000005</v>
      </c>
      <c r="H51" s="86">
        <v>111005611.15000001</v>
      </c>
      <c r="I51" s="86">
        <f>112774045.47+5964026+1921557.81+130535.61</f>
        <v>120790164.89</v>
      </c>
      <c r="J51" s="87">
        <v>137433722.97999999</v>
      </c>
      <c r="K51" s="86">
        <f>'[16]СРБ на план. период_1'!$T$35</f>
        <v>150456372.59</v>
      </c>
      <c r="L51" s="86">
        <v>149270276.62</v>
      </c>
      <c r="M51" s="86">
        <v>150756372.58999997</v>
      </c>
      <c r="N51" s="259"/>
    </row>
    <row r="52" spans="1:16" ht="21.75" customHeight="1" x14ac:dyDescent="0.25">
      <c r="A52" s="248"/>
      <c r="B52" s="312"/>
      <c r="C52" s="254"/>
      <c r="D52" s="269"/>
      <c r="E52" s="254"/>
      <c r="F52" s="85" t="s">
        <v>16</v>
      </c>
      <c r="G52" s="86">
        <f>H52+I52+J52+K52+M52</f>
        <v>1920455420.0899999</v>
      </c>
      <c r="H52" s="86">
        <f>349241007.57</f>
        <v>349241007.56999999</v>
      </c>
      <c r="I52" s="86">
        <f>366885874.5</f>
        <v>366885874.5</v>
      </c>
      <c r="J52" s="87">
        <f>347896678+12327200+2879809.51+12005300+5000000</f>
        <v>380108987.50999999</v>
      </c>
      <c r="K52" s="86">
        <v>400830666.50999999</v>
      </c>
      <c r="L52" s="86">
        <v>414510706</v>
      </c>
      <c r="M52" s="86">
        <v>423388884</v>
      </c>
      <c r="N52" s="259"/>
      <c r="O52" s="61"/>
    </row>
    <row r="53" spans="1:16" ht="21.75" customHeight="1" x14ac:dyDescent="0.25">
      <c r="A53" s="249"/>
      <c r="B53" s="313"/>
      <c r="C53" s="254"/>
      <c r="D53" s="270"/>
      <c r="E53" s="255"/>
      <c r="F53" s="85" t="s">
        <v>17</v>
      </c>
      <c r="G53" s="86">
        <f>H53+I53+J53+K53+M53</f>
        <v>10581400</v>
      </c>
      <c r="H53" s="86">
        <v>10581400</v>
      </c>
      <c r="I53" s="86">
        <v>0</v>
      </c>
      <c r="J53" s="87">
        <v>0</v>
      </c>
      <c r="K53" s="86">
        <v>0</v>
      </c>
      <c r="L53" s="86">
        <v>0</v>
      </c>
      <c r="M53" s="86">
        <v>0</v>
      </c>
      <c r="N53" s="259"/>
      <c r="O53" s="89"/>
      <c r="P53" s="90"/>
    </row>
    <row r="54" spans="1:16" ht="21.75" customHeight="1" collapsed="1" x14ac:dyDescent="0.25">
      <c r="A54" s="247" t="s">
        <v>25</v>
      </c>
      <c r="B54" s="311" t="s">
        <v>40</v>
      </c>
      <c r="C54" s="253" t="s">
        <v>11</v>
      </c>
      <c r="D54" s="268" t="s">
        <v>27</v>
      </c>
      <c r="E54" s="253" t="s">
        <v>153</v>
      </c>
      <c r="F54" s="85" t="s">
        <v>14</v>
      </c>
      <c r="G54" s="86">
        <f t="shared" ref="G54:M54" si="16">G55+G56+G57</f>
        <v>123078900</v>
      </c>
      <c r="H54" s="86">
        <f t="shared" si="16"/>
        <v>0</v>
      </c>
      <c r="I54" s="86">
        <f t="shared" si="16"/>
        <v>30779350</v>
      </c>
      <c r="J54" s="87">
        <f t="shared" si="16"/>
        <v>31110050</v>
      </c>
      <c r="K54" s="86">
        <f t="shared" si="16"/>
        <v>30405510</v>
      </c>
      <c r="L54" s="86">
        <f t="shared" si="16"/>
        <v>30783990</v>
      </c>
      <c r="M54" s="86">
        <f t="shared" si="16"/>
        <v>30783990</v>
      </c>
      <c r="N54" s="259"/>
    </row>
    <row r="55" spans="1:16" ht="21.75" customHeight="1" x14ac:dyDescent="0.25">
      <c r="A55" s="248"/>
      <c r="B55" s="312"/>
      <c r="C55" s="254"/>
      <c r="D55" s="269"/>
      <c r="E55" s="254"/>
      <c r="F55" s="85" t="s">
        <v>133</v>
      </c>
      <c r="G55" s="86">
        <f>H55+I55+J55+K55+M55</f>
        <v>0</v>
      </c>
      <c r="H55" s="86">
        <v>0</v>
      </c>
      <c r="I55" s="86">
        <v>0</v>
      </c>
      <c r="J55" s="87">
        <v>0</v>
      </c>
      <c r="K55" s="86">
        <v>0</v>
      </c>
      <c r="L55" s="86">
        <v>0</v>
      </c>
      <c r="M55" s="86">
        <v>0</v>
      </c>
      <c r="N55" s="259"/>
    </row>
    <row r="56" spans="1:16" ht="21.75" customHeight="1" x14ac:dyDescent="0.25">
      <c r="A56" s="248"/>
      <c r="B56" s="312"/>
      <c r="C56" s="254"/>
      <c r="D56" s="269"/>
      <c r="E56" s="254"/>
      <c r="F56" s="85" t="s">
        <v>16</v>
      </c>
      <c r="G56" s="86">
        <f>H56+I56+J56+K56+M56</f>
        <v>0</v>
      </c>
      <c r="H56" s="86">
        <v>0</v>
      </c>
      <c r="I56" s="86">
        <v>0</v>
      </c>
      <c r="J56" s="87">
        <v>0</v>
      </c>
      <c r="K56" s="86">
        <v>0</v>
      </c>
      <c r="L56" s="86">
        <v>0</v>
      </c>
      <c r="M56" s="86">
        <v>0</v>
      </c>
      <c r="N56" s="259"/>
    </row>
    <row r="57" spans="1:16" ht="21.75" customHeight="1" x14ac:dyDescent="0.25">
      <c r="A57" s="249"/>
      <c r="B57" s="313"/>
      <c r="C57" s="254"/>
      <c r="D57" s="270"/>
      <c r="E57" s="255"/>
      <c r="F57" s="85" t="s">
        <v>17</v>
      </c>
      <c r="G57" s="86">
        <f>H57+I57+J57+K57+M57</f>
        <v>123078900</v>
      </c>
      <c r="H57" s="86">
        <v>0</v>
      </c>
      <c r="I57" s="86">
        <v>30779350</v>
      </c>
      <c r="J57" s="87">
        <v>31110050</v>
      </c>
      <c r="K57" s="86">
        <v>30405510</v>
      </c>
      <c r="L57" s="86">
        <v>30783990</v>
      </c>
      <c r="M57" s="86">
        <v>30783990</v>
      </c>
      <c r="N57" s="259"/>
    </row>
    <row r="58" spans="1:16" ht="21.75" customHeight="1" x14ac:dyDescent="0.25">
      <c r="A58" s="265" t="s">
        <v>44</v>
      </c>
      <c r="B58" s="250" t="s">
        <v>43</v>
      </c>
      <c r="C58" s="253" t="s">
        <v>11</v>
      </c>
      <c r="D58" s="262" t="s">
        <v>37</v>
      </c>
      <c r="E58" s="253" t="s">
        <v>153</v>
      </c>
      <c r="F58" s="85" t="s">
        <v>14</v>
      </c>
      <c r="G58" s="86">
        <f t="shared" ref="G58:M58" si="17">G59+G60+G61</f>
        <v>300000</v>
      </c>
      <c r="H58" s="86">
        <f t="shared" si="17"/>
        <v>60000</v>
      </c>
      <c r="I58" s="86">
        <f t="shared" si="17"/>
        <v>60000</v>
      </c>
      <c r="J58" s="87">
        <f t="shared" si="17"/>
        <v>60000</v>
      </c>
      <c r="K58" s="86">
        <f t="shared" si="17"/>
        <v>60000</v>
      </c>
      <c r="L58" s="86">
        <f t="shared" si="17"/>
        <v>60000</v>
      </c>
      <c r="M58" s="86">
        <f t="shared" si="17"/>
        <v>60000</v>
      </c>
      <c r="N58" s="259"/>
    </row>
    <row r="59" spans="1:16" ht="21.75" customHeight="1" x14ac:dyDescent="0.25">
      <c r="A59" s="266"/>
      <c r="B59" s="251"/>
      <c r="C59" s="254"/>
      <c r="D59" s="263"/>
      <c r="E59" s="254"/>
      <c r="F59" s="85" t="s">
        <v>133</v>
      </c>
      <c r="G59" s="86">
        <f>H59+I59+J59+K59+M59</f>
        <v>300000</v>
      </c>
      <c r="H59" s="86">
        <v>60000</v>
      </c>
      <c r="I59" s="86">
        <v>60000</v>
      </c>
      <c r="J59" s="87">
        <v>60000</v>
      </c>
      <c r="K59" s="86">
        <v>60000</v>
      </c>
      <c r="L59" s="86">
        <v>60000</v>
      </c>
      <c r="M59" s="86">
        <v>60000</v>
      </c>
      <c r="N59" s="259"/>
    </row>
    <row r="60" spans="1:16" ht="21.75" customHeight="1" x14ac:dyDescent="0.25">
      <c r="A60" s="266"/>
      <c r="B60" s="251"/>
      <c r="C60" s="254"/>
      <c r="D60" s="263"/>
      <c r="E60" s="254"/>
      <c r="F60" s="85" t="s">
        <v>16</v>
      </c>
      <c r="G60" s="86">
        <f>H60+I60+J60+K60+M60</f>
        <v>0</v>
      </c>
      <c r="H60" s="86">
        <v>0</v>
      </c>
      <c r="I60" s="86">
        <v>0</v>
      </c>
      <c r="J60" s="87">
        <v>0</v>
      </c>
      <c r="K60" s="86">
        <v>0</v>
      </c>
      <c r="L60" s="86">
        <v>0</v>
      </c>
      <c r="M60" s="86">
        <v>0</v>
      </c>
      <c r="N60" s="259"/>
    </row>
    <row r="61" spans="1:16" ht="21" customHeight="1" x14ac:dyDescent="0.25">
      <c r="A61" s="267"/>
      <c r="B61" s="252"/>
      <c r="C61" s="254"/>
      <c r="D61" s="264"/>
      <c r="E61" s="255"/>
      <c r="F61" s="85" t="s">
        <v>17</v>
      </c>
      <c r="G61" s="86">
        <f>H61+I61+J61+K61+M61</f>
        <v>0</v>
      </c>
      <c r="H61" s="86">
        <v>0</v>
      </c>
      <c r="I61" s="86">
        <v>0</v>
      </c>
      <c r="J61" s="87">
        <v>0</v>
      </c>
      <c r="K61" s="86">
        <v>0</v>
      </c>
      <c r="L61" s="86">
        <v>0</v>
      </c>
      <c r="M61" s="86">
        <v>0</v>
      </c>
      <c r="N61" s="259"/>
    </row>
    <row r="62" spans="1:16" ht="21.75" customHeight="1" x14ac:dyDescent="0.25">
      <c r="A62" s="265" t="s">
        <v>48</v>
      </c>
      <c r="B62" s="311" t="s">
        <v>53</v>
      </c>
      <c r="C62" s="253" t="s">
        <v>11</v>
      </c>
      <c r="D62" s="262" t="s">
        <v>54</v>
      </c>
      <c r="E62" s="253" t="s">
        <v>153</v>
      </c>
      <c r="F62" s="85" t="s">
        <v>14</v>
      </c>
      <c r="G62" s="86">
        <f t="shared" ref="G62:M62" si="18">G63+G64+G65</f>
        <v>1887641.65</v>
      </c>
      <c r="H62" s="86">
        <f t="shared" si="18"/>
        <v>393480</v>
      </c>
      <c r="I62" s="86">
        <f t="shared" si="18"/>
        <v>1094161.6499999999</v>
      </c>
      <c r="J62" s="87">
        <f t="shared" si="18"/>
        <v>400000</v>
      </c>
      <c r="K62" s="86">
        <f t="shared" si="18"/>
        <v>0</v>
      </c>
      <c r="L62" s="86">
        <f t="shared" si="18"/>
        <v>0</v>
      </c>
      <c r="M62" s="86">
        <f t="shared" si="18"/>
        <v>0</v>
      </c>
      <c r="N62" s="259"/>
    </row>
    <row r="63" spans="1:16" ht="21.75" customHeight="1" x14ac:dyDescent="0.25">
      <c r="A63" s="266"/>
      <c r="B63" s="312"/>
      <c r="C63" s="254"/>
      <c r="D63" s="263"/>
      <c r="E63" s="254"/>
      <c r="F63" s="85" t="s">
        <v>133</v>
      </c>
      <c r="G63" s="86">
        <f>H63+I63+J63+K63+M63</f>
        <v>1887641.65</v>
      </c>
      <c r="H63" s="86">
        <v>393480</v>
      </c>
      <c r="I63" s="86">
        <f>20000+1074161.65</f>
        <v>1094161.6499999999</v>
      </c>
      <c r="J63" s="87">
        <f>500000-100000</f>
        <v>400000</v>
      </c>
      <c r="K63" s="86">
        <v>0</v>
      </c>
      <c r="L63" s="86">
        <v>0</v>
      </c>
      <c r="M63" s="86">
        <v>0</v>
      </c>
      <c r="N63" s="259"/>
    </row>
    <row r="64" spans="1:16" ht="21.75" customHeight="1" x14ac:dyDescent="0.25">
      <c r="A64" s="266"/>
      <c r="B64" s="312"/>
      <c r="C64" s="254"/>
      <c r="D64" s="263"/>
      <c r="E64" s="254"/>
      <c r="F64" s="85" t="s">
        <v>16</v>
      </c>
      <c r="G64" s="86">
        <f>H64+I64+J64+K64+M64</f>
        <v>0</v>
      </c>
      <c r="H64" s="86">
        <v>0</v>
      </c>
      <c r="I64" s="86">
        <v>0</v>
      </c>
      <c r="J64" s="87">
        <v>0</v>
      </c>
      <c r="K64" s="86">
        <v>0</v>
      </c>
      <c r="L64" s="86">
        <v>0</v>
      </c>
      <c r="M64" s="86">
        <v>0</v>
      </c>
      <c r="N64" s="259"/>
    </row>
    <row r="65" spans="1:14" ht="21.75" customHeight="1" x14ac:dyDescent="0.25">
      <c r="A65" s="267"/>
      <c r="B65" s="313"/>
      <c r="C65" s="254"/>
      <c r="D65" s="264"/>
      <c r="E65" s="255"/>
      <c r="F65" s="85" t="s">
        <v>17</v>
      </c>
      <c r="G65" s="86">
        <f>H65+I65+J65+K65+M65</f>
        <v>0</v>
      </c>
      <c r="H65" s="86">
        <v>0</v>
      </c>
      <c r="I65" s="86">
        <v>0</v>
      </c>
      <c r="J65" s="87">
        <v>0</v>
      </c>
      <c r="K65" s="86">
        <v>0</v>
      </c>
      <c r="L65" s="86">
        <v>0</v>
      </c>
      <c r="M65" s="86">
        <v>0</v>
      </c>
      <c r="N65" s="259"/>
    </row>
    <row r="66" spans="1:14" ht="21.75" customHeight="1" x14ac:dyDescent="0.25">
      <c r="A66" s="314" t="s">
        <v>56</v>
      </c>
      <c r="B66" s="287" t="s">
        <v>41</v>
      </c>
      <c r="C66" s="290" t="s">
        <v>11</v>
      </c>
      <c r="D66" s="292" t="s">
        <v>42</v>
      </c>
      <c r="E66" s="290" t="s">
        <v>153</v>
      </c>
      <c r="F66" s="91" t="s">
        <v>14</v>
      </c>
      <c r="G66" s="87">
        <f t="shared" ref="G66:M66" si="19">G67+G68+G69</f>
        <v>220242.99</v>
      </c>
      <c r="H66" s="87">
        <f t="shared" si="19"/>
        <v>0</v>
      </c>
      <c r="I66" s="87">
        <f t="shared" si="19"/>
        <v>0</v>
      </c>
      <c r="J66" s="87">
        <f t="shared" si="19"/>
        <v>220242.99</v>
      </c>
      <c r="K66" s="87">
        <f t="shared" si="19"/>
        <v>0</v>
      </c>
      <c r="L66" s="87">
        <f t="shared" si="19"/>
        <v>0</v>
      </c>
      <c r="M66" s="87">
        <f t="shared" si="19"/>
        <v>0</v>
      </c>
      <c r="N66" s="259"/>
    </row>
    <row r="67" spans="1:14" ht="21.75" customHeight="1" x14ac:dyDescent="0.25">
      <c r="A67" s="315"/>
      <c r="B67" s="288"/>
      <c r="C67" s="291"/>
      <c r="D67" s="293"/>
      <c r="E67" s="291"/>
      <c r="F67" s="91" t="s">
        <v>15</v>
      </c>
      <c r="G67" s="87">
        <f>H67+I67+J67+K67+L67</f>
        <v>220242.99</v>
      </c>
      <c r="H67" s="87">
        <v>0</v>
      </c>
      <c r="I67" s="87">
        <v>0</v>
      </c>
      <c r="J67" s="87">
        <v>220242.99</v>
      </c>
      <c r="K67" s="87">
        <v>0</v>
      </c>
      <c r="L67" s="87">
        <v>0</v>
      </c>
      <c r="M67" s="87">
        <v>0</v>
      </c>
      <c r="N67" s="259"/>
    </row>
    <row r="68" spans="1:14" ht="21.75" customHeight="1" x14ac:dyDescent="0.25">
      <c r="A68" s="315"/>
      <c r="B68" s="288"/>
      <c r="C68" s="291"/>
      <c r="D68" s="293"/>
      <c r="E68" s="291"/>
      <c r="F68" s="91" t="s">
        <v>16</v>
      </c>
      <c r="G68" s="87">
        <f>H68+I68+J68+K68+L68</f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259"/>
    </row>
    <row r="69" spans="1:14" ht="21.75" customHeight="1" x14ac:dyDescent="0.25">
      <c r="A69" s="316"/>
      <c r="B69" s="289"/>
      <c r="C69" s="291"/>
      <c r="D69" s="294"/>
      <c r="E69" s="295"/>
      <c r="F69" s="91" t="s">
        <v>17</v>
      </c>
      <c r="G69" s="87">
        <f>H69+I69+J69+K69+L69</f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259"/>
    </row>
    <row r="70" spans="1:14" ht="21.75" customHeight="1" collapsed="1" x14ac:dyDescent="0.25">
      <c r="A70" s="265" t="s">
        <v>94</v>
      </c>
      <c r="B70" s="250" t="s">
        <v>45</v>
      </c>
      <c r="C70" s="253" t="s">
        <v>11</v>
      </c>
      <c r="D70" s="268" t="s">
        <v>42</v>
      </c>
      <c r="E70" s="253" t="s">
        <v>153</v>
      </c>
      <c r="F70" s="85" t="s">
        <v>14</v>
      </c>
      <c r="G70" s="86">
        <f t="shared" ref="G70:M70" si="20">G71+G72+G73</f>
        <v>500000</v>
      </c>
      <c r="H70" s="86">
        <f t="shared" si="20"/>
        <v>90000</v>
      </c>
      <c r="I70" s="86">
        <f t="shared" si="20"/>
        <v>100000</v>
      </c>
      <c r="J70" s="86">
        <f t="shared" si="20"/>
        <v>100000</v>
      </c>
      <c r="K70" s="86">
        <f t="shared" si="20"/>
        <v>105000</v>
      </c>
      <c r="L70" s="86">
        <f t="shared" si="20"/>
        <v>105000</v>
      </c>
      <c r="M70" s="86">
        <f t="shared" si="20"/>
        <v>105000</v>
      </c>
      <c r="N70" s="259"/>
    </row>
    <row r="71" spans="1:14" ht="21.75" customHeight="1" x14ac:dyDescent="0.25">
      <c r="A71" s="266"/>
      <c r="B71" s="251"/>
      <c r="C71" s="254"/>
      <c r="D71" s="269"/>
      <c r="E71" s="254"/>
      <c r="F71" s="85" t="s">
        <v>133</v>
      </c>
      <c r="G71" s="86">
        <f>H71+I71+J71+K71+M71</f>
        <v>500000</v>
      </c>
      <c r="H71" s="86">
        <v>90000</v>
      </c>
      <c r="I71" s="86">
        <f>100000</f>
        <v>100000</v>
      </c>
      <c r="J71" s="86">
        <v>100000</v>
      </c>
      <c r="K71" s="86">
        <v>105000</v>
      </c>
      <c r="L71" s="86">
        <v>105000</v>
      </c>
      <c r="M71" s="86">
        <v>105000</v>
      </c>
      <c r="N71" s="259"/>
    </row>
    <row r="72" spans="1:14" ht="21.75" customHeight="1" x14ac:dyDescent="0.25">
      <c r="A72" s="266"/>
      <c r="B72" s="251"/>
      <c r="C72" s="254"/>
      <c r="D72" s="269"/>
      <c r="E72" s="254"/>
      <c r="F72" s="85" t="s">
        <v>16</v>
      </c>
      <c r="G72" s="86">
        <f>H72+I72+J72+K72+M72</f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259"/>
    </row>
    <row r="73" spans="1:14" ht="21.75" customHeight="1" x14ac:dyDescent="0.25">
      <c r="A73" s="267"/>
      <c r="B73" s="252"/>
      <c r="C73" s="254"/>
      <c r="D73" s="270"/>
      <c r="E73" s="255"/>
      <c r="F73" s="85" t="s">
        <v>17</v>
      </c>
      <c r="G73" s="86">
        <f>H73+I73+J73+K73+M73</f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259"/>
    </row>
    <row r="74" spans="1:14" ht="21.75" customHeight="1" x14ac:dyDescent="0.25">
      <c r="A74" s="247" t="s">
        <v>102</v>
      </c>
      <c r="B74" s="250" t="s">
        <v>36</v>
      </c>
      <c r="C74" s="253" t="s">
        <v>11</v>
      </c>
      <c r="D74" s="262" t="s">
        <v>37</v>
      </c>
      <c r="E74" s="253" t="s">
        <v>153</v>
      </c>
      <c r="F74" s="85" t="s">
        <v>14</v>
      </c>
      <c r="G74" s="86">
        <f t="shared" ref="G74:M74" si="21">G75+G76+G77</f>
        <v>4661070.7300000004</v>
      </c>
      <c r="H74" s="86">
        <f t="shared" si="21"/>
        <v>1481975</v>
      </c>
      <c r="I74" s="86">
        <f t="shared" si="21"/>
        <v>653058.44999999995</v>
      </c>
      <c r="J74" s="87">
        <f t="shared" si="21"/>
        <v>888490</v>
      </c>
      <c r="K74" s="86">
        <f t="shared" si="21"/>
        <v>1068773.6400000001</v>
      </c>
      <c r="L74" s="86">
        <f t="shared" si="21"/>
        <v>568773.64</v>
      </c>
      <c r="M74" s="86">
        <f t="shared" si="21"/>
        <v>568773.64</v>
      </c>
      <c r="N74" s="259"/>
    </row>
    <row r="75" spans="1:14" ht="21.75" customHeight="1" x14ac:dyDescent="0.25">
      <c r="A75" s="248"/>
      <c r="B75" s="251"/>
      <c r="C75" s="254"/>
      <c r="D75" s="263"/>
      <c r="E75" s="254"/>
      <c r="F75" s="85" t="s">
        <v>133</v>
      </c>
      <c r="G75" s="86">
        <f>H75+I75+J75+K75+M75</f>
        <v>4661070.7300000004</v>
      </c>
      <c r="H75" s="86">
        <v>1481975</v>
      </c>
      <c r="I75" s="86">
        <f>1481975-602271.91-226644.64</f>
        <v>653058.44999999995</v>
      </c>
      <c r="J75" s="87">
        <v>888490</v>
      </c>
      <c r="K75" s="86">
        <v>1068773.6400000001</v>
      </c>
      <c r="L75" s="86">
        <v>568773.64</v>
      </c>
      <c r="M75" s="86">
        <v>568773.64</v>
      </c>
      <c r="N75" s="259"/>
    </row>
    <row r="76" spans="1:14" ht="21.75" customHeight="1" x14ac:dyDescent="0.25">
      <c r="A76" s="248"/>
      <c r="B76" s="251"/>
      <c r="C76" s="254"/>
      <c r="D76" s="263"/>
      <c r="E76" s="254"/>
      <c r="F76" s="85" t="s">
        <v>16</v>
      </c>
      <c r="G76" s="86">
        <f>H76+I76+J76+K76+M76</f>
        <v>0</v>
      </c>
      <c r="H76" s="86">
        <v>0</v>
      </c>
      <c r="I76" s="86">
        <v>0</v>
      </c>
      <c r="J76" s="87">
        <v>0</v>
      </c>
      <c r="K76" s="86">
        <v>0</v>
      </c>
      <c r="L76" s="86">
        <v>0</v>
      </c>
      <c r="M76" s="86">
        <v>0</v>
      </c>
      <c r="N76" s="259"/>
    </row>
    <row r="77" spans="1:14" ht="21.75" customHeight="1" x14ac:dyDescent="0.25">
      <c r="A77" s="249"/>
      <c r="B77" s="252"/>
      <c r="C77" s="254"/>
      <c r="D77" s="264"/>
      <c r="E77" s="255"/>
      <c r="F77" s="85" t="s">
        <v>17</v>
      </c>
      <c r="G77" s="86">
        <f>H77+I77+J77+K77+M77</f>
        <v>0</v>
      </c>
      <c r="H77" s="86">
        <v>0</v>
      </c>
      <c r="I77" s="86">
        <v>0</v>
      </c>
      <c r="J77" s="87">
        <v>0</v>
      </c>
      <c r="K77" s="86">
        <v>0</v>
      </c>
      <c r="L77" s="86">
        <v>0</v>
      </c>
      <c r="M77" s="86">
        <v>0</v>
      </c>
      <c r="N77" s="259"/>
    </row>
    <row r="78" spans="1:14" ht="21.75" customHeight="1" collapsed="1" x14ac:dyDescent="0.25">
      <c r="A78" s="247" t="s">
        <v>124</v>
      </c>
      <c r="B78" s="250" t="s">
        <v>125</v>
      </c>
      <c r="C78" s="253" t="s">
        <v>11</v>
      </c>
      <c r="D78" s="253" t="s">
        <v>113</v>
      </c>
      <c r="E78" s="253" t="s">
        <v>153</v>
      </c>
      <c r="F78" s="85" t="s">
        <v>14</v>
      </c>
      <c r="G78" s="86">
        <f t="shared" ref="G78:M78" si="22">G79+G80+G81</f>
        <v>245901.6</v>
      </c>
      <c r="H78" s="86">
        <f t="shared" si="22"/>
        <v>0</v>
      </c>
      <c r="I78" s="86">
        <f t="shared" si="22"/>
        <v>0</v>
      </c>
      <c r="J78" s="87">
        <f t="shared" si="22"/>
        <v>149349.60000000003</v>
      </c>
      <c r="K78" s="86">
        <f t="shared" si="22"/>
        <v>48276</v>
      </c>
      <c r="L78" s="86">
        <f t="shared" si="22"/>
        <v>48276</v>
      </c>
      <c r="M78" s="86">
        <f t="shared" si="22"/>
        <v>48276</v>
      </c>
      <c r="N78" s="259"/>
    </row>
    <row r="79" spans="1:14" ht="21.75" customHeight="1" x14ac:dyDescent="0.25">
      <c r="A79" s="248"/>
      <c r="B79" s="251"/>
      <c r="C79" s="254"/>
      <c r="D79" s="254"/>
      <c r="E79" s="254"/>
      <c r="F79" s="85" t="s">
        <v>133</v>
      </c>
      <c r="G79" s="86">
        <f>H79+I79+J79+K79+M79</f>
        <v>149352</v>
      </c>
      <c r="H79" s="86">
        <v>0</v>
      </c>
      <c r="I79" s="86">
        <v>0</v>
      </c>
      <c r="J79" s="87">
        <f>'[4]остатки средств в ФК_3'!$AI$100+'[4]остатки средств в ФК_3'!$AI$98</f>
        <v>52800.000000000015</v>
      </c>
      <c r="K79" s="86">
        <v>48276</v>
      </c>
      <c r="L79" s="86">
        <v>48276</v>
      </c>
      <c r="M79" s="86">
        <v>48276</v>
      </c>
      <c r="N79" s="259"/>
    </row>
    <row r="80" spans="1:14" ht="21.75" customHeight="1" x14ac:dyDescent="0.25">
      <c r="A80" s="248"/>
      <c r="B80" s="251"/>
      <c r="C80" s="254"/>
      <c r="D80" s="254"/>
      <c r="E80" s="254"/>
      <c r="F80" s="85" t="s">
        <v>16</v>
      </c>
      <c r="G80" s="86">
        <f>H80+I80+J80+K80+M80</f>
        <v>96549.6</v>
      </c>
      <c r="H80" s="86">
        <v>0</v>
      </c>
      <c r="I80" s="86">
        <v>0</v>
      </c>
      <c r="J80" s="87">
        <f>'[4]остатки средств в ФК_3'!$AH$100</f>
        <v>96549.6</v>
      </c>
      <c r="K80" s="87"/>
      <c r="L80" s="87"/>
      <c r="M80" s="87"/>
      <c r="N80" s="259"/>
    </row>
    <row r="81" spans="1:15" ht="21.75" customHeight="1" x14ac:dyDescent="0.25">
      <c r="A81" s="249"/>
      <c r="B81" s="252"/>
      <c r="C81" s="255"/>
      <c r="D81" s="255"/>
      <c r="E81" s="255"/>
      <c r="F81" s="85" t="s">
        <v>17</v>
      </c>
      <c r="G81" s="86">
        <f>H81+I81+J81+K81+M81</f>
        <v>0</v>
      </c>
      <c r="H81" s="86">
        <v>0</v>
      </c>
      <c r="I81" s="86">
        <v>0</v>
      </c>
      <c r="J81" s="87">
        <v>0</v>
      </c>
      <c r="K81" s="86">
        <v>0</v>
      </c>
      <c r="L81" s="86">
        <v>0</v>
      </c>
      <c r="M81" s="86">
        <v>0</v>
      </c>
      <c r="N81" s="259"/>
    </row>
    <row r="82" spans="1:15" ht="21.75" customHeight="1" x14ac:dyDescent="0.25">
      <c r="A82" s="247" t="s">
        <v>128</v>
      </c>
      <c r="B82" s="311" t="s">
        <v>22</v>
      </c>
      <c r="C82" s="253" t="s">
        <v>11</v>
      </c>
      <c r="D82" s="268" t="s">
        <v>27</v>
      </c>
      <c r="E82" s="253" t="s">
        <v>153</v>
      </c>
      <c r="F82" s="85" t="s">
        <v>14</v>
      </c>
      <c r="G82" s="86">
        <f t="shared" ref="G82:M82" si="23">G83+G84+G85</f>
        <v>5474764.5199999996</v>
      </c>
      <c r="H82" s="86">
        <f t="shared" si="23"/>
        <v>1006307</v>
      </c>
      <c r="I82" s="86">
        <f t="shared" si="23"/>
        <v>1385373.84</v>
      </c>
      <c r="J82" s="87">
        <f t="shared" si="23"/>
        <v>881623.68</v>
      </c>
      <c r="K82" s="86">
        <f t="shared" si="23"/>
        <v>1100730</v>
      </c>
      <c r="L82" s="86">
        <f>L83+L84+L85</f>
        <v>1100730</v>
      </c>
      <c r="M82" s="86">
        <f t="shared" si="23"/>
        <v>1100730</v>
      </c>
      <c r="N82" s="259"/>
    </row>
    <row r="83" spans="1:15" ht="21.75" customHeight="1" x14ac:dyDescent="0.25">
      <c r="A83" s="248"/>
      <c r="B83" s="312"/>
      <c r="C83" s="254"/>
      <c r="D83" s="269"/>
      <c r="E83" s="254"/>
      <c r="F83" s="85" t="s">
        <v>133</v>
      </c>
      <c r="G83" s="86">
        <f>H83+I83+J83+K83+M83</f>
        <v>5474764.5199999996</v>
      </c>
      <c r="H83" s="86">
        <v>1006307</v>
      </c>
      <c r="I83" s="86">
        <f>1199420.42+157723.37+28230.05</f>
        <v>1385373.84</v>
      </c>
      <c r="J83" s="87">
        <f>965822.81-130616.86+22367.74+24049.99</f>
        <v>881623.68</v>
      </c>
      <c r="K83" s="86">
        <v>1100730</v>
      </c>
      <c r="L83" s="86">
        <v>1100730</v>
      </c>
      <c r="M83" s="86">
        <v>1100730</v>
      </c>
      <c r="N83" s="259"/>
    </row>
    <row r="84" spans="1:15" ht="21.75" customHeight="1" x14ac:dyDescent="0.25">
      <c r="A84" s="248"/>
      <c r="B84" s="312"/>
      <c r="C84" s="254"/>
      <c r="D84" s="269"/>
      <c r="E84" s="254"/>
      <c r="F84" s="85" t="s">
        <v>16</v>
      </c>
      <c r="G84" s="86">
        <f>H84+I84+J84+K84+M84</f>
        <v>0</v>
      </c>
      <c r="H84" s="86">
        <v>0</v>
      </c>
      <c r="I84" s="86">
        <v>0</v>
      </c>
      <c r="J84" s="87">
        <v>0</v>
      </c>
      <c r="K84" s="86">
        <v>0</v>
      </c>
      <c r="L84" s="86">
        <v>0</v>
      </c>
      <c r="M84" s="86">
        <v>0</v>
      </c>
      <c r="N84" s="259"/>
    </row>
    <row r="85" spans="1:15" ht="21.75" customHeight="1" x14ac:dyDescent="0.25">
      <c r="A85" s="249"/>
      <c r="B85" s="313"/>
      <c r="C85" s="254"/>
      <c r="D85" s="270"/>
      <c r="E85" s="255"/>
      <c r="F85" s="85" t="s">
        <v>17</v>
      </c>
      <c r="G85" s="86">
        <f>H85+I85+J85+K85+M85</f>
        <v>0</v>
      </c>
      <c r="H85" s="86">
        <v>0</v>
      </c>
      <c r="I85" s="86">
        <v>0</v>
      </c>
      <c r="J85" s="87">
        <v>0</v>
      </c>
      <c r="K85" s="86">
        <v>0</v>
      </c>
      <c r="L85" s="86">
        <v>0</v>
      </c>
      <c r="M85" s="86">
        <v>0</v>
      </c>
      <c r="N85" s="259"/>
    </row>
    <row r="86" spans="1:15" ht="21.75" customHeight="1" x14ac:dyDescent="0.25">
      <c r="A86" s="247" t="s">
        <v>144</v>
      </c>
      <c r="B86" s="311" t="s">
        <v>23</v>
      </c>
      <c r="C86" s="253" t="s">
        <v>11</v>
      </c>
      <c r="D86" s="268" t="s">
        <v>27</v>
      </c>
      <c r="E86" s="253" t="s">
        <v>153</v>
      </c>
      <c r="F86" s="85" t="s">
        <v>14</v>
      </c>
      <c r="G86" s="86">
        <f t="shared" ref="G86:M86" si="24">G87+G88+G89</f>
        <v>167983423.48999998</v>
      </c>
      <c r="H86" s="86">
        <f t="shared" si="24"/>
        <v>31798849</v>
      </c>
      <c r="I86" s="86">
        <f t="shared" si="24"/>
        <v>36091735.869999997</v>
      </c>
      <c r="J86" s="87">
        <f t="shared" si="24"/>
        <v>39884600.390000001</v>
      </c>
      <c r="K86" s="86">
        <f t="shared" si="24"/>
        <v>31831278.23</v>
      </c>
      <c r="L86" s="86">
        <f>L87+L88+L89</f>
        <v>34750000</v>
      </c>
      <c r="M86" s="86">
        <f t="shared" si="24"/>
        <v>28376960</v>
      </c>
      <c r="N86" s="259"/>
    </row>
    <row r="87" spans="1:15" ht="21.75" customHeight="1" x14ac:dyDescent="0.25">
      <c r="A87" s="248"/>
      <c r="B87" s="312"/>
      <c r="C87" s="254"/>
      <c r="D87" s="269"/>
      <c r="E87" s="254"/>
      <c r="F87" s="85" t="s">
        <v>133</v>
      </c>
      <c r="G87" s="86">
        <f>H87+I87+J87+K87+M87</f>
        <v>388968.69</v>
      </c>
      <c r="H87" s="86">
        <v>100000</v>
      </c>
      <c r="I87" s="86">
        <f>101833.11+23737.45</f>
        <v>125570.56</v>
      </c>
      <c r="J87" s="87">
        <v>99792.13</v>
      </c>
      <c r="K87" s="86">
        <v>63606</v>
      </c>
      <c r="L87" s="86">
        <v>0</v>
      </c>
      <c r="M87" s="86">
        <v>0</v>
      </c>
      <c r="N87" s="259"/>
    </row>
    <row r="88" spans="1:15" ht="21.75" customHeight="1" x14ac:dyDescent="0.25">
      <c r="A88" s="248"/>
      <c r="B88" s="312"/>
      <c r="C88" s="254"/>
      <c r="D88" s="269"/>
      <c r="E88" s="254"/>
      <c r="F88" s="85" t="s">
        <v>16</v>
      </c>
      <c r="G88" s="86">
        <f>H88+I88+J88+K88+M88</f>
        <v>167594454.79999998</v>
      </c>
      <c r="H88" s="86">
        <v>31698849</v>
      </c>
      <c r="I88" s="86">
        <f>35963535.87+2629.44</f>
        <v>35966165.309999995</v>
      </c>
      <c r="J88" s="87">
        <f>'[2]остатки средств в ФК_8'!$R$34+2040.87</f>
        <v>39784808.259999998</v>
      </c>
      <c r="K88" s="86">
        <v>31767672.23</v>
      </c>
      <c r="L88" s="86">
        <v>34750000</v>
      </c>
      <c r="M88" s="86">
        <f>'[16]СРБ на план. период_1'!$V$34</f>
        <v>28376960</v>
      </c>
      <c r="N88" s="259"/>
    </row>
    <row r="89" spans="1:15" ht="21.75" customHeight="1" x14ac:dyDescent="0.25">
      <c r="A89" s="249"/>
      <c r="B89" s="313"/>
      <c r="C89" s="254"/>
      <c r="D89" s="270"/>
      <c r="E89" s="255"/>
      <c r="F89" s="85" t="s">
        <v>17</v>
      </c>
      <c r="G89" s="86">
        <f>H89+I89+J89+K89+M89</f>
        <v>0</v>
      </c>
      <c r="H89" s="86">
        <v>0</v>
      </c>
      <c r="I89" s="86">
        <v>0</v>
      </c>
      <c r="J89" s="87">
        <v>0</v>
      </c>
      <c r="K89" s="86">
        <v>0</v>
      </c>
      <c r="L89" s="86">
        <v>0</v>
      </c>
      <c r="M89" s="86">
        <v>0</v>
      </c>
      <c r="N89" s="259"/>
    </row>
    <row r="90" spans="1:15" ht="21.75" hidden="1" customHeight="1" outlineLevel="1" x14ac:dyDescent="0.25">
      <c r="A90" s="247" t="s">
        <v>38</v>
      </c>
      <c r="B90" s="250" t="s">
        <v>39</v>
      </c>
      <c r="C90" s="253" t="s">
        <v>11</v>
      </c>
      <c r="D90" s="268" t="s">
        <v>27</v>
      </c>
      <c r="E90" s="253" t="s">
        <v>153</v>
      </c>
      <c r="F90" s="85" t="s">
        <v>14</v>
      </c>
      <c r="G90" s="86">
        <f t="shared" ref="G90:M90" si="25">G91+G92+G93</f>
        <v>0</v>
      </c>
      <c r="H90" s="86">
        <f t="shared" si="25"/>
        <v>0</v>
      </c>
      <c r="I90" s="86">
        <f t="shared" si="25"/>
        <v>0</v>
      </c>
      <c r="J90" s="87">
        <f t="shared" si="25"/>
        <v>0</v>
      </c>
      <c r="K90" s="86">
        <f t="shared" si="25"/>
        <v>0</v>
      </c>
      <c r="L90" s="86">
        <f>L91+L92+L93</f>
        <v>0</v>
      </c>
      <c r="M90" s="86">
        <f t="shared" si="25"/>
        <v>0</v>
      </c>
      <c r="N90" s="259"/>
    </row>
    <row r="91" spans="1:15" ht="21.75" hidden="1" customHeight="1" outlineLevel="1" x14ac:dyDescent="0.25">
      <c r="A91" s="248"/>
      <c r="B91" s="251"/>
      <c r="C91" s="254"/>
      <c r="D91" s="269"/>
      <c r="E91" s="254"/>
      <c r="F91" s="85" t="s">
        <v>133</v>
      </c>
      <c r="G91" s="86">
        <f>H91+I91+J91+K91+M91</f>
        <v>0</v>
      </c>
      <c r="H91" s="86">
        <v>0</v>
      </c>
      <c r="I91" s="86">
        <v>0</v>
      </c>
      <c r="J91" s="87">
        <v>0</v>
      </c>
      <c r="K91" s="86">
        <v>0</v>
      </c>
      <c r="L91" s="86">
        <v>0</v>
      </c>
      <c r="M91" s="86">
        <v>0</v>
      </c>
      <c r="N91" s="259"/>
    </row>
    <row r="92" spans="1:15" ht="21.75" hidden="1" customHeight="1" outlineLevel="1" x14ac:dyDescent="0.25">
      <c r="A92" s="248"/>
      <c r="B92" s="251"/>
      <c r="C92" s="254"/>
      <c r="D92" s="269"/>
      <c r="E92" s="254"/>
      <c r="F92" s="85" t="s">
        <v>16</v>
      </c>
      <c r="G92" s="86">
        <f>H92+I92+J92+K92+M92</f>
        <v>0</v>
      </c>
      <c r="H92" s="86">
        <v>0</v>
      </c>
      <c r="I92" s="86">
        <v>0</v>
      </c>
      <c r="J92" s="87">
        <v>0</v>
      </c>
      <c r="K92" s="86">
        <v>0</v>
      </c>
      <c r="L92" s="86">
        <v>0</v>
      </c>
      <c r="M92" s="86">
        <v>0</v>
      </c>
      <c r="N92" s="259"/>
    </row>
    <row r="93" spans="1:15" ht="21.75" hidden="1" customHeight="1" outlineLevel="1" x14ac:dyDescent="0.25">
      <c r="A93" s="249"/>
      <c r="B93" s="252"/>
      <c r="C93" s="254"/>
      <c r="D93" s="270"/>
      <c r="E93" s="255"/>
      <c r="F93" s="85" t="s">
        <v>17</v>
      </c>
      <c r="G93" s="86">
        <f>H93+I93+J93+K93+M93</f>
        <v>0</v>
      </c>
      <c r="H93" s="86">
        <v>0</v>
      </c>
      <c r="I93" s="86">
        <v>0</v>
      </c>
      <c r="J93" s="87">
        <v>0</v>
      </c>
      <c r="K93" s="86">
        <v>0</v>
      </c>
      <c r="L93" s="86">
        <v>0</v>
      </c>
      <c r="M93" s="86">
        <v>0</v>
      </c>
      <c r="N93" s="259"/>
    </row>
    <row r="94" spans="1:15" ht="21.75" hidden="1" customHeight="1" outlineLevel="1" x14ac:dyDescent="0.25">
      <c r="A94" s="247" t="s">
        <v>46</v>
      </c>
      <c r="B94" s="250" t="s">
        <v>47</v>
      </c>
      <c r="C94" s="253" t="s">
        <v>11</v>
      </c>
      <c r="D94" s="268" t="s">
        <v>27</v>
      </c>
      <c r="E94" s="253" t="s">
        <v>153</v>
      </c>
      <c r="F94" s="85" t="s">
        <v>14</v>
      </c>
      <c r="G94" s="86">
        <f t="shared" ref="G94:M94" si="26">G95+G96+G97</f>
        <v>0</v>
      </c>
      <c r="H94" s="86">
        <f t="shared" si="26"/>
        <v>0</v>
      </c>
      <c r="I94" s="86">
        <f t="shared" si="26"/>
        <v>0</v>
      </c>
      <c r="J94" s="86">
        <f t="shared" si="26"/>
        <v>0</v>
      </c>
      <c r="K94" s="86">
        <f t="shared" si="26"/>
        <v>0</v>
      </c>
      <c r="L94" s="86">
        <f>L95+L96+L97</f>
        <v>0</v>
      </c>
      <c r="M94" s="86">
        <f t="shared" si="26"/>
        <v>0</v>
      </c>
      <c r="N94" s="259"/>
    </row>
    <row r="95" spans="1:15" ht="21.75" hidden="1" customHeight="1" outlineLevel="1" x14ac:dyDescent="0.25">
      <c r="A95" s="248"/>
      <c r="B95" s="251"/>
      <c r="C95" s="254"/>
      <c r="D95" s="269"/>
      <c r="E95" s="254"/>
      <c r="F95" s="85" t="s">
        <v>133</v>
      </c>
      <c r="G95" s="86">
        <f>H95+I95+J95+K95+M95</f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259"/>
    </row>
    <row r="96" spans="1:15" ht="21.75" hidden="1" customHeight="1" outlineLevel="1" x14ac:dyDescent="0.25">
      <c r="A96" s="248"/>
      <c r="B96" s="251"/>
      <c r="C96" s="254"/>
      <c r="D96" s="269"/>
      <c r="E96" s="254"/>
      <c r="F96" s="85" t="s">
        <v>16</v>
      </c>
      <c r="G96" s="86">
        <f>H96+I96+J96+K96+M96</f>
        <v>0</v>
      </c>
      <c r="H96" s="86"/>
      <c r="I96" s="86"/>
      <c r="J96" s="86"/>
      <c r="K96" s="86"/>
      <c r="L96" s="86"/>
      <c r="M96" s="86"/>
      <c r="N96" s="259"/>
      <c r="O96" s="92"/>
    </row>
    <row r="97" spans="1:16" ht="21.75" hidden="1" customHeight="1" outlineLevel="1" x14ac:dyDescent="0.25">
      <c r="A97" s="249"/>
      <c r="B97" s="252"/>
      <c r="C97" s="254"/>
      <c r="D97" s="270"/>
      <c r="E97" s="255"/>
      <c r="F97" s="85" t="s">
        <v>17</v>
      </c>
      <c r="G97" s="86">
        <f>H97+I97+J97+K97+M97</f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284"/>
    </row>
    <row r="98" spans="1:16" ht="21.75" customHeight="1" collapsed="1" x14ac:dyDescent="0.25">
      <c r="A98" s="299"/>
      <c r="B98" s="302" t="s">
        <v>49</v>
      </c>
      <c r="C98" s="305" t="s">
        <v>11</v>
      </c>
      <c r="D98" s="308" t="s">
        <v>50</v>
      </c>
      <c r="E98" s="305" t="s">
        <v>153</v>
      </c>
      <c r="F98" s="82" t="s">
        <v>14</v>
      </c>
      <c r="G98" s="83">
        <f t="shared" ref="G98:M98" si="27">G99+G100+G101</f>
        <v>507627596.42000002</v>
      </c>
      <c r="H98" s="83">
        <f>H99+H100+H101</f>
        <v>84734080.780000001</v>
      </c>
      <c r="I98" s="83">
        <f>I99+I100+I101</f>
        <v>96308847.780000001</v>
      </c>
      <c r="J98" s="83">
        <f>J99+J100+J101</f>
        <v>101161763.69</v>
      </c>
      <c r="K98" s="83">
        <f t="shared" si="27"/>
        <v>111369849.59</v>
      </c>
      <c r="L98" s="83">
        <f>L99+L100+L101</f>
        <v>112959582.03</v>
      </c>
      <c r="M98" s="83">
        <f t="shared" si="27"/>
        <v>114053054.58</v>
      </c>
      <c r="N98" s="236" t="s">
        <v>51</v>
      </c>
    </row>
    <row r="99" spans="1:16" ht="21.75" customHeight="1" x14ac:dyDescent="0.25">
      <c r="A99" s="300"/>
      <c r="B99" s="303"/>
      <c r="C99" s="306"/>
      <c r="D99" s="309"/>
      <c r="E99" s="306"/>
      <c r="F99" s="82" t="s">
        <v>133</v>
      </c>
      <c r="G99" s="83">
        <f>H99+I99+J99+K99+M99</f>
        <v>107049906.11</v>
      </c>
      <c r="H99" s="83">
        <f t="shared" ref="H99:M101" si="28">H103+H119+H107+H111+H115+H123</f>
        <v>18875528.780000001</v>
      </c>
      <c r="I99" s="83">
        <f t="shared" si="28"/>
        <v>18939692.490000002</v>
      </c>
      <c r="J99" s="83">
        <f t="shared" si="28"/>
        <v>20821117.829999998</v>
      </c>
      <c r="K99" s="83">
        <f t="shared" si="28"/>
        <v>24995167.82</v>
      </c>
      <c r="L99" s="83">
        <f t="shared" si="28"/>
        <v>23519028.940000001</v>
      </c>
      <c r="M99" s="83">
        <f t="shared" si="28"/>
        <v>23418399.190000001</v>
      </c>
      <c r="N99" s="237"/>
    </row>
    <row r="100" spans="1:16" ht="21.75" customHeight="1" x14ac:dyDescent="0.25">
      <c r="A100" s="300"/>
      <c r="B100" s="303"/>
      <c r="C100" s="306"/>
      <c r="D100" s="309"/>
      <c r="E100" s="306"/>
      <c r="F100" s="82" t="s">
        <v>16</v>
      </c>
      <c r="G100" s="83">
        <f>H100+I100+J100+K100+M100</f>
        <v>400577690.31</v>
      </c>
      <c r="H100" s="83">
        <f t="shared" si="28"/>
        <v>65858552</v>
      </c>
      <c r="I100" s="83">
        <f t="shared" si="28"/>
        <v>77369155.290000007</v>
      </c>
      <c r="J100" s="83">
        <f t="shared" si="28"/>
        <v>80340645.859999999</v>
      </c>
      <c r="K100" s="83">
        <f t="shared" si="28"/>
        <v>86374681.769999996</v>
      </c>
      <c r="L100" s="83">
        <f t="shared" si="28"/>
        <v>89440553.090000004</v>
      </c>
      <c r="M100" s="83">
        <f t="shared" si="28"/>
        <v>90634655.390000001</v>
      </c>
      <c r="N100" s="237"/>
    </row>
    <row r="101" spans="1:16" ht="21.75" customHeight="1" x14ac:dyDescent="0.25">
      <c r="A101" s="301"/>
      <c r="B101" s="304"/>
      <c r="C101" s="307"/>
      <c r="D101" s="310"/>
      <c r="E101" s="307"/>
      <c r="F101" s="82" t="s">
        <v>17</v>
      </c>
      <c r="G101" s="83">
        <f>H101+I101+J101+K101+M101</f>
        <v>0</v>
      </c>
      <c r="H101" s="83">
        <f t="shared" si="28"/>
        <v>0</v>
      </c>
      <c r="I101" s="83">
        <f t="shared" si="28"/>
        <v>0</v>
      </c>
      <c r="J101" s="83">
        <f t="shared" si="28"/>
        <v>0</v>
      </c>
      <c r="K101" s="83">
        <f t="shared" si="28"/>
        <v>0</v>
      </c>
      <c r="L101" s="83">
        <f t="shared" si="28"/>
        <v>0</v>
      </c>
      <c r="M101" s="83">
        <f t="shared" si="28"/>
        <v>0</v>
      </c>
      <c r="N101" s="237"/>
    </row>
    <row r="102" spans="1:16" ht="21.75" customHeight="1" x14ac:dyDescent="0.25">
      <c r="A102" s="247" t="s">
        <v>18</v>
      </c>
      <c r="B102" s="250" t="s">
        <v>52</v>
      </c>
      <c r="C102" s="253" t="s">
        <v>11</v>
      </c>
      <c r="D102" s="268" t="s">
        <v>42</v>
      </c>
      <c r="E102" s="253" t="s">
        <v>153</v>
      </c>
      <c r="F102" s="85" t="s">
        <v>14</v>
      </c>
      <c r="G102" s="86">
        <f t="shared" ref="G102:M102" si="29">G103+G104+G105</f>
        <v>425179351.14458436</v>
      </c>
      <c r="H102" s="86">
        <f t="shared" si="29"/>
        <v>75848880.460000008</v>
      </c>
      <c r="I102" s="86">
        <f t="shared" si="29"/>
        <v>78759959.739999995</v>
      </c>
      <c r="J102" s="87">
        <f t="shared" si="29"/>
        <v>81872994.930000007</v>
      </c>
      <c r="K102" s="86">
        <f t="shared" si="29"/>
        <v>92851833.820000008</v>
      </c>
      <c r="L102" s="86">
        <f>L103+L104+L105</f>
        <v>94216299.94458437</v>
      </c>
      <c r="M102" s="86">
        <f t="shared" si="29"/>
        <v>95845682.19458437</v>
      </c>
      <c r="N102" s="237"/>
    </row>
    <row r="103" spans="1:16" ht="21.75" customHeight="1" x14ac:dyDescent="0.25">
      <c r="A103" s="248"/>
      <c r="B103" s="251"/>
      <c r="C103" s="254"/>
      <c r="D103" s="269"/>
      <c r="E103" s="254"/>
      <c r="F103" s="85" t="s">
        <v>133</v>
      </c>
      <c r="G103" s="86">
        <f>H103+I103+J103+K103+M103</f>
        <v>92434758.050000012</v>
      </c>
      <c r="H103" s="86">
        <v>17880557.460000001</v>
      </c>
      <c r="I103" s="86">
        <f>15484283.05-117000+1049417.39</f>
        <v>16416700.440000001</v>
      </c>
      <c r="J103" s="87">
        <f>17127247+366899</f>
        <v>17494146</v>
      </c>
      <c r="K103" s="86">
        <v>21113787.390000001</v>
      </c>
      <c r="L103" s="86">
        <v>19634116.510000002</v>
      </c>
      <c r="M103" s="86">
        <v>19529566.760000002</v>
      </c>
      <c r="N103" s="237"/>
      <c r="O103" s="93"/>
      <c r="P103" s="89"/>
    </row>
    <row r="104" spans="1:16" ht="21.75" customHeight="1" x14ac:dyDescent="0.25">
      <c r="A104" s="248"/>
      <c r="B104" s="251"/>
      <c r="C104" s="254"/>
      <c r="D104" s="269"/>
      <c r="E104" s="254"/>
      <c r="F104" s="85" t="s">
        <v>16</v>
      </c>
      <c r="G104" s="86">
        <f>H104+I104+J104+K104+M104</f>
        <v>332744593.09458435</v>
      </c>
      <c r="H104" s="86">
        <f>57968323</f>
        <v>57968323</v>
      </c>
      <c r="I104" s="86">
        <f>62343259.3</f>
        <v>62343259.299999997</v>
      </c>
      <c r="J104" s="87">
        <f>64378848.93</f>
        <v>64378848.93</v>
      </c>
      <c r="K104" s="86">
        <v>71738046.430000007</v>
      </c>
      <c r="L104" s="86">
        <v>74582183.434584364</v>
      </c>
      <c r="M104" s="86">
        <v>76316115.434584364</v>
      </c>
      <c r="N104" s="237"/>
    </row>
    <row r="105" spans="1:16" ht="21.75" customHeight="1" x14ac:dyDescent="0.25">
      <c r="A105" s="249"/>
      <c r="B105" s="252"/>
      <c r="C105" s="254"/>
      <c r="D105" s="270"/>
      <c r="E105" s="255"/>
      <c r="F105" s="85" t="s">
        <v>17</v>
      </c>
      <c r="G105" s="86">
        <f>H105+I105+J105+K105+M105</f>
        <v>0</v>
      </c>
      <c r="H105" s="86">
        <v>0</v>
      </c>
      <c r="I105" s="86">
        <v>0</v>
      </c>
      <c r="J105" s="87">
        <v>0</v>
      </c>
      <c r="K105" s="86">
        <v>0</v>
      </c>
      <c r="L105" s="86">
        <v>0</v>
      </c>
      <c r="M105" s="86">
        <v>0</v>
      </c>
      <c r="N105" s="237"/>
    </row>
    <row r="106" spans="1:16" ht="21.75" customHeight="1" outlineLevel="1" x14ac:dyDescent="0.25">
      <c r="A106" s="247" t="s">
        <v>25</v>
      </c>
      <c r="B106" s="250" t="s">
        <v>109</v>
      </c>
      <c r="C106" s="253" t="s">
        <v>11</v>
      </c>
      <c r="D106" s="268" t="s">
        <v>42</v>
      </c>
      <c r="E106" s="253" t="s">
        <v>153</v>
      </c>
      <c r="F106" s="85" t="s">
        <v>14</v>
      </c>
      <c r="G106" s="86">
        <f t="shared" ref="G106:M106" si="30">G107+G108+G109</f>
        <v>0</v>
      </c>
      <c r="H106" s="86">
        <f t="shared" si="30"/>
        <v>0</v>
      </c>
      <c r="I106" s="86">
        <f t="shared" si="30"/>
        <v>0</v>
      </c>
      <c r="J106" s="86">
        <f t="shared" si="30"/>
        <v>0</v>
      </c>
      <c r="K106" s="86">
        <f t="shared" si="30"/>
        <v>0</v>
      </c>
      <c r="L106" s="86">
        <f t="shared" si="30"/>
        <v>0</v>
      </c>
      <c r="M106" s="86">
        <f t="shared" si="30"/>
        <v>0</v>
      </c>
      <c r="N106" s="237"/>
    </row>
    <row r="107" spans="1:16" ht="21.75" customHeight="1" outlineLevel="1" x14ac:dyDescent="0.25">
      <c r="A107" s="248"/>
      <c r="B107" s="251"/>
      <c r="C107" s="254"/>
      <c r="D107" s="269"/>
      <c r="E107" s="254"/>
      <c r="F107" s="85" t="s">
        <v>15</v>
      </c>
      <c r="G107" s="86">
        <f>H107+I107+J107+K107+M107</f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0</v>
      </c>
      <c r="N107" s="237"/>
    </row>
    <row r="108" spans="1:16" ht="21.75" customHeight="1" outlineLevel="1" x14ac:dyDescent="0.25">
      <c r="A108" s="248"/>
      <c r="B108" s="251"/>
      <c r="C108" s="254"/>
      <c r="D108" s="269"/>
      <c r="E108" s="254"/>
      <c r="F108" s="85" t="s">
        <v>16</v>
      </c>
      <c r="G108" s="86">
        <f>H108+I108+J108+K108+M108</f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237"/>
    </row>
    <row r="109" spans="1:16" ht="21.75" customHeight="1" outlineLevel="1" x14ac:dyDescent="0.25">
      <c r="A109" s="249"/>
      <c r="B109" s="252"/>
      <c r="C109" s="254"/>
      <c r="D109" s="270"/>
      <c r="E109" s="255"/>
      <c r="F109" s="85" t="s">
        <v>17</v>
      </c>
      <c r="G109" s="86">
        <f>H109+I109+J109+K109+M109</f>
        <v>0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237"/>
    </row>
    <row r="110" spans="1:16" ht="21.75" customHeight="1" outlineLevel="1" x14ac:dyDescent="0.25">
      <c r="A110" s="247" t="s">
        <v>44</v>
      </c>
      <c r="B110" s="250" t="s">
        <v>110</v>
      </c>
      <c r="C110" s="253" t="s">
        <v>11</v>
      </c>
      <c r="D110" s="268" t="s">
        <v>42</v>
      </c>
      <c r="E110" s="253" t="s">
        <v>153</v>
      </c>
      <c r="F110" s="85" t="s">
        <v>14</v>
      </c>
      <c r="G110" s="86">
        <f t="shared" ref="G110:M110" si="31">G111+G112+G113</f>
        <v>0</v>
      </c>
      <c r="H110" s="86">
        <f t="shared" si="31"/>
        <v>0</v>
      </c>
      <c r="I110" s="86">
        <f t="shared" si="31"/>
        <v>0</v>
      </c>
      <c r="J110" s="86">
        <f t="shared" si="31"/>
        <v>0</v>
      </c>
      <c r="K110" s="86">
        <f t="shared" si="31"/>
        <v>0</v>
      </c>
      <c r="L110" s="86">
        <f t="shared" si="31"/>
        <v>0</v>
      </c>
      <c r="M110" s="86">
        <f t="shared" si="31"/>
        <v>0</v>
      </c>
      <c r="N110" s="237"/>
    </row>
    <row r="111" spans="1:16" ht="21.75" customHeight="1" outlineLevel="1" x14ac:dyDescent="0.25">
      <c r="A111" s="248"/>
      <c r="B111" s="251"/>
      <c r="C111" s="254"/>
      <c r="D111" s="269"/>
      <c r="E111" s="254"/>
      <c r="F111" s="85" t="s">
        <v>15</v>
      </c>
      <c r="G111" s="94">
        <f>H111+I111+J111+K111+M111</f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237"/>
    </row>
    <row r="112" spans="1:16" ht="21.75" customHeight="1" outlineLevel="1" x14ac:dyDescent="0.25">
      <c r="A112" s="248"/>
      <c r="B112" s="251"/>
      <c r="C112" s="254"/>
      <c r="D112" s="269"/>
      <c r="E112" s="254"/>
      <c r="F112" s="85" t="s">
        <v>16</v>
      </c>
      <c r="G112" s="94">
        <f>H112+I112+J112+K112+M112</f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237"/>
    </row>
    <row r="113" spans="1:14" ht="21.75" customHeight="1" outlineLevel="1" x14ac:dyDescent="0.25">
      <c r="A113" s="249"/>
      <c r="B113" s="252"/>
      <c r="C113" s="254"/>
      <c r="D113" s="270"/>
      <c r="E113" s="255"/>
      <c r="F113" s="85" t="s">
        <v>17</v>
      </c>
      <c r="G113" s="94">
        <f>H113+I113+J113+K113+M113</f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  <c r="N113" s="237"/>
    </row>
    <row r="114" spans="1:14" ht="21.75" customHeight="1" x14ac:dyDescent="0.25">
      <c r="A114" s="247" t="s">
        <v>112</v>
      </c>
      <c r="B114" s="311" t="s">
        <v>156</v>
      </c>
      <c r="C114" s="253" t="s">
        <v>11</v>
      </c>
      <c r="D114" s="268" t="s">
        <v>55</v>
      </c>
      <c r="E114" s="253" t="s">
        <v>153</v>
      </c>
      <c r="F114" s="85" t="s">
        <v>14</v>
      </c>
      <c r="G114" s="86">
        <f t="shared" ref="G114:M114" si="32">G115+G116+G117</f>
        <v>62842050.93541564</v>
      </c>
      <c r="H114" s="86">
        <f t="shared" si="32"/>
        <v>4920882.5</v>
      </c>
      <c r="I114" s="86">
        <f t="shared" si="32"/>
        <v>13636058.439999999</v>
      </c>
      <c r="J114" s="87">
        <f t="shared" si="32"/>
        <v>14165280</v>
      </c>
      <c r="K114" s="86">
        <f t="shared" si="32"/>
        <v>14957350</v>
      </c>
      <c r="L114" s="86">
        <f t="shared" si="32"/>
        <v>15054579.995415632</v>
      </c>
      <c r="M114" s="86">
        <f t="shared" si="32"/>
        <v>15162479.995415632</v>
      </c>
      <c r="N114" s="237"/>
    </row>
    <row r="115" spans="1:14" ht="21.75" customHeight="1" x14ac:dyDescent="0.25">
      <c r="A115" s="248"/>
      <c r="B115" s="312"/>
      <c r="C115" s="254"/>
      <c r="D115" s="269"/>
      <c r="E115" s="254"/>
      <c r="F115" s="85" t="s">
        <v>15</v>
      </c>
      <c r="G115" s="86">
        <f>H115+I115+J115+K115+M115</f>
        <v>14266347.029999999</v>
      </c>
      <c r="H115" s="86">
        <f>845990.48+96482.96-233.44+4193.5</f>
        <v>946433.5</v>
      </c>
      <c r="I115" s="86">
        <f>2724868.3-76260.5*3-76260.06</f>
        <v>2419826.7399999998</v>
      </c>
      <c r="J115" s="87">
        <v>3245713.93</v>
      </c>
      <c r="K115" s="86">
        <v>3823460.43</v>
      </c>
      <c r="L115" s="86">
        <v>3826992.43</v>
      </c>
      <c r="M115" s="86">
        <v>3830912.43</v>
      </c>
      <c r="N115" s="237"/>
    </row>
    <row r="116" spans="1:14" ht="21.75" customHeight="1" x14ac:dyDescent="0.25">
      <c r="A116" s="248"/>
      <c r="B116" s="312"/>
      <c r="C116" s="254"/>
      <c r="D116" s="269"/>
      <c r="E116" s="254"/>
      <c r="F116" s="85" t="s">
        <v>16</v>
      </c>
      <c r="G116" s="86">
        <f>H116+I116+J116+K116+M116</f>
        <v>48575703.905415639</v>
      </c>
      <c r="H116" s="86">
        <f>3768960+205489</f>
        <v>3974449</v>
      </c>
      <c r="I116" s="86">
        <v>11216231.699999999</v>
      </c>
      <c r="J116" s="87">
        <v>10919566.07</v>
      </c>
      <c r="K116" s="86">
        <v>11133889.57</v>
      </c>
      <c r="L116" s="86">
        <v>11227587.565415632</v>
      </c>
      <c r="M116" s="86">
        <v>11331567.565415632</v>
      </c>
      <c r="N116" s="237"/>
    </row>
    <row r="117" spans="1:14" ht="21.75" customHeight="1" x14ac:dyDescent="0.25">
      <c r="A117" s="249"/>
      <c r="B117" s="313"/>
      <c r="C117" s="254"/>
      <c r="D117" s="270"/>
      <c r="E117" s="255"/>
      <c r="F117" s="85" t="s">
        <v>17</v>
      </c>
      <c r="G117" s="86">
        <f>H117+I117+J117+K117+M117</f>
        <v>0</v>
      </c>
      <c r="H117" s="86">
        <v>0</v>
      </c>
      <c r="I117" s="86">
        <v>0</v>
      </c>
      <c r="J117" s="87">
        <v>0</v>
      </c>
      <c r="K117" s="86">
        <v>0</v>
      </c>
      <c r="L117" s="86">
        <v>0</v>
      </c>
      <c r="M117" s="86">
        <v>0</v>
      </c>
      <c r="N117" s="237"/>
    </row>
    <row r="118" spans="1:14" ht="21.75" customHeight="1" x14ac:dyDescent="0.25">
      <c r="A118" s="247" t="s">
        <v>128</v>
      </c>
      <c r="B118" s="311" t="s">
        <v>22</v>
      </c>
      <c r="C118" s="253" t="s">
        <v>11</v>
      </c>
      <c r="D118" s="268" t="s">
        <v>42</v>
      </c>
      <c r="E118" s="253" t="s">
        <v>153</v>
      </c>
      <c r="F118" s="85" t="s">
        <v>14</v>
      </c>
      <c r="G118" s="86">
        <f t="shared" ref="G118:M118" si="33">G119+G120+G121</f>
        <v>348801.03</v>
      </c>
      <c r="H118" s="86">
        <f t="shared" si="33"/>
        <v>48537.82</v>
      </c>
      <c r="I118" s="86">
        <f t="shared" si="33"/>
        <v>103165.31</v>
      </c>
      <c r="J118" s="87">
        <f t="shared" si="33"/>
        <v>81257.899999999994</v>
      </c>
      <c r="K118" s="86">
        <f t="shared" si="33"/>
        <v>57920</v>
      </c>
      <c r="L118" s="86">
        <f>L119+L120+L121</f>
        <v>57920</v>
      </c>
      <c r="M118" s="86">
        <f t="shared" si="33"/>
        <v>57920</v>
      </c>
      <c r="N118" s="237"/>
    </row>
    <row r="119" spans="1:14" ht="21.75" customHeight="1" x14ac:dyDescent="0.25">
      <c r="A119" s="248"/>
      <c r="B119" s="312"/>
      <c r="C119" s="254"/>
      <c r="D119" s="269"/>
      <c r="E119" s="254"/>
      <c r="F119" s="85" t="s">
        <v>133</v>
      </c>
      <c r="G119" s="86">
        <f>H119+I119+J119+K119+M119</f>
        <v>348801.03</v>
      </c>
      <c r="H119" s="86">
        <f>48538-0.18</f>
        <v>48537.82</v>
      </c>
      <c r="I119" s="86">
        <f>94165.31+9000</f>
        <v>103165.31</v>
      </c>
      <c r="J119" s="87">
        <v>81257.899999999994</v>
      </c>
      <c r="K119" s="86">
        <v>57920</v>
      </c>
      <c r="L119" s="86">
        <v>57920</v>
      </c>
      <c r="M119" s="86">
        <v>57920</v>
      </c>
      <c r="N119" s="237"/>
    </row>
    <row r="120" spans="1:14" ht="21.75" customHeight="1" x14ac:dyDescent="0.25">
      <c r="A120" s="248"/>
      <c r="B120" s="312"/>
      <c r="C120" s="254"/>
      <c r="D120" s="269"/>
      <c r="E120" s="254"/>
      <c r="F120" s="85" t="s">
        <v>16</v>
      </c>
      <c r="G120" s="86">
        <f>H120+I120+J120+K120+M120</f>
        <v>0</v>
      </c>
      <c r="H120" s="86">
        <v>0</v>
      </c>
      <c r="I120" s="86">
        <v>0</v>
      </c>
      <c r="J120" s="87">
        <v>0</v>
      </c>
      <c r="K120" s="86">
        <v>0</v>
      </c>
      <c r="L120" s="86">
        <v>0</v>
      </c>
      <c r="M120" s="86">
        <v>0</v>
      </c>
      <c r="N120" s="237"/>
    </row>
    <row r="121" spans="1:14" ht="21.75" customHeight="1" x14ac:dyDescent="0.25">
      <c r="A121" s="249"/>
      <c r="B121" s="313"/>
      <c r="C121" s="254"/>
      <c r="D121" s="270"/>
      <c r="E121" s="255"/>
      <c r="F121" s="85" t="s">
        <v>17</v>
      </c>
      <c r="G121" s="86">
        <f>H121+I121+J121+K121+M121</f>
        <v>0</v>
      </c>
      <c r="H121" s="86">
        <v>0</v>
      </c>
      <c r="I121" s="86">
        <v>0</v>
      </c>
      <c r="J121" s="87">
        <v>0</v>
      </c>
      <c r="K121" s="86">
        <v>0</v>
      </c>
      <c r="L121" s="86">
        <v>0</v>
      </c>
      <c r="M121" s="86">
        <v>0</v>
      </c>
      <c r="N121" s="237"/>
    </row>
    <row r="122" spans="1:14" ht="21.75" customHeight="1" x14ac:dyDescent="0.25">
      <c r="A122" s="247" t="s">
        <v>144</v>
      </c>
      <c r="B122" s="311" t="s">
        <v>23</v>
      </c>
      <c r="C122" s="253" t="s">
        <v>11</v>
      </c>
      <c r="D122" s="268" t="s">
        <v>147</v>
      </c>
      <c r="E122" s="253" t="s">
        <v>153</v>
      </c>
      <c r="F122" s="85" t="s">
        <v>14</v>
      </c>
      <c r="G122" s="86">
        <f t="shared" ref="G122:M122" si="34">G123+G124+G125</f>
        <v>19257393.309999999</v>
      </c>
      <c r="H122" s="86">
        <f t="shared" si="34"/>
        <v>3915780</v>
      </c>
      <c r="I122" s="86">
        <f t="shared" si="34"/>
        <v>3809664.29</v>
      </c>
      <c r="J122" s="87">
        <f t="shared" si="34"/>
        <v>5042230.8599999994</v>
      </c>
      <c r="K122" s="86">
        <f t="shared" si="34"/>
        <v>3502745.77</v>
      </c>
      <c r="L122" s="86">
        <f>L123+L124+L125</f>
        <v>3630782.09</v>
      </c>
      <c r="M122" s="86">
        <f t="shared" si="34"/>
        <v>2986972.3899999997</v>
      </c>
      <c r="N122" s="237"/>
    </row>
    <row r="123" spans="1:14" ht="21.75" customHeight="1" x14ac:dyDescent="0.25">
      <c r="A123" s="248"/>
      <c r="B123" s="312"/>
      <c r="C123" s="254"/>
      <c r="D123" s="269"/>
      <c r="E123" s="254"/>
      <c r="F123" s="85" t="s">
        <v>133</v>
      </c>
      <c r="G123" s="86">
        <f>H123+I123+J123+K123+M123</f>
        <v>0</v>
      </c>
      <c r="H123" s="86">
        <v>0</v>
      </c>
      <c r="I123" s="86">
        <v>0</v>
      </c>
      <c r="J123" s="87">
        <v>0</v>
      </c>
      <c r="K123" s="86">
        <v>0</v>
      </c>
      <c r="L123" s="86">
        <v>0</v>
      </c>
      <c r="M123" s="86">
        <v>0</v>
      </c>
      <c r="N123" s="237"/>
    </row>
    <row r="124" spans="1:14" ht="21.75" customHeight="1" x14ac:dyDescent="0.25">
      <c r="A124" s="248"/>
      <c r="B124" s="312"/>
      <c r="C124" s="254"/>
      <c r="D124" s="269"/>
      <c r="E124" s="254"/>
      <c r="F124" s="85" t="s">
        <v>16</v>
      </c>
      <c r="G124" s="86">
        <f>H124+I124+J124+K124+M124</f>
        <v>19257393.309999999</v>
      </c>
      <c r="H124" s="86">
        <f>1513280+2402500</f>
        <v>3915780</v>
      </c>
      <c r="I124" s="86">
        <f>1178210+2631454.29</f>
        <v>3809664.29</v>
      </c>
      <c r="J124" s="87">
        <f>'[2]остатки средств в ФК_8'!$R$74+'[2]остатки средств в ФК_8'!$R$16</f>
        <v>5042230.8599999994</v>
      </c>
      <c r="K124" s="86">
        <v>3502745.77</v>
      </c>
      <c r="L124" s="86">
        <v>3630782.09</v>
      </c>
      <c r="M124" s="86">
        <f>'[16]СРБ на план. период_1'!$V$66+'[16]СРБ на план. период_1'!$V$13</f>
        <v>2986972.3899999997</v>
      </c>
      <c r="N124" s="237"/>
    </row>
    <row r="125" spans="1:14" ht="21.75" customHeight="1" x14ac:dyDescent="0.25">
      <c r="A125" s="249"/>
      <c r="B125" s="313"/>
      <c r="C125" s="254"/>
      <c r="D125" s="270"/>
      <c r="E125" s="255"/>
      <c r="F125" s="85" t="s">
        <v>17</v>
      </c>
      <c r="G125" s="86">
        <f>H125+I125+J125+K125+M125</f>
        <v>0</v>
      </c>
      <c r="H125" s="86">
        <v>0</v>
      </c>
      <c r="I125" s="86">
        <v>0</v>
      </c>
      <c r="J125" s="87">
        <v>0</v>
      </c>
      <c r="K125" s="86">
        <v>0</v>
      </c>
      <c r="L125" s="86">
        <v>0</v>
      </c>
      <c r="M125" s="86">
        <v>0</v>
      </c>
      <c r="N125" s="237"/>
    </row>
    <row r="126" spans="1:14" ht="21.75" customHeight="1" x14ac:dyDescent="0.25">
      <c r="A126" s="299"/>
      <c r="B126" s="302" t="s">
        <v>57</v>
      </c>
      <c r="C126" s="305" t="s">
        <v>11</v>
      </c>
      <c r="D126" s="308" t="s">
        <v>55</v>
      </c>
      <c r="E126" s="305" t="s">
        <v>153</v>
      </c>
      <c r="F126" s="82" t="s">
        <v>14</v>
      </c>
      <c r="G126" s="83">
        <f t="shared" ref="G126:M126" si="35">G127+G128+G129</f>
        <v>106602214.7</v>
      </c>
      <c r="H126" s="83">
        <f>H127+H128+H129</f>
        <v>11501858.800000001</v>
      </c>
      <c r="I126" s="83">
        <f>I127+I128+I129</f>
        <v>20053625.789999999</v>
      </c>
      <c r="J126" s="83">
        <f>J127+J128+J129</f>
        <v>23607892.009999998</v>
      </c>
      <c r="K126" s="83">
        <f t="shared" si="35"/>
        <v>27963673.77</v>
      </c>
      <c r="L126" s="83">
        <f>L127+L128+L129</f>
        <v>24153926.329999998</v>
      </c>
      <c r="M126" s="83">
        <f t="shared" si="35"/>
        <v>23475164.329999998</v>
      </c>
      <c r="N126" s="258"/>
    </row>
    <row r="127" spans="1:14" ht="21.75" customHeight="1" x14ac:dyDescent="0.25">
      <c r="A127" s="300"/>
      <c r="B127" s="303"/>
      <c r="C127" s="306"/>
      <c r="D127" s="309"/>
      <c r="E127" s="306"/>
      <c r="F127" s="82" t="s">
        <v>133</v>
      </c>
      <c r="G127" s="83">
        <f>H127+I127+J127+K127+M127</f>
        <v>20818843.09</v>
      </c>
      <c r="H127" s="83">
        <f t="shared" ref="H127:I129" si="36">+H131+H135+H139+H143+H147+H151</f>
        <v>1291281.29</v>
      </c>
      <c r="I127" s="83">
        <f t="shared" si="36"/>
        <v>2153726.31</v>
      </c>
      <c r="J127" s="83">
        <f>+J131+J135+J139+J143+J147+J151+J155</f>
        <v>5780842.8499999996</v>
      </c>
      <c r="K127" s="83">
        <f>+K131+K135+K139+K143+K147+K151+K155</f>
        <v>7104224.1900000004</v>
      </c>
      <c r="L127" s="83">
        <f>+L131+L135+L139+L143+L147+L151+L155</f>
        <v>4489443.82</v>
      </c>
      <c r="M127" s="83">
        <f>+M131+M135+M139+M143+M147+M151+M155</f>
        <v>4488768.45</v>
      </c>
      <c r="N127" s="259"/>
    </row>
    <row r="128" spans="1:14" ht="21.75" customHeight="1" x14ac:dyDescent="0.25">
      <c r="A128" s="300"/>
      <c r="B128" s="303"/>
      <c r="C128" s="306"/>
      <c r="D128" s="309"/>
      <c r="E128" s="306"/>
      <c r="F128" s="82" t="s">
        <v>16</v>
      </c>
      <c r="G128" s="83">
        <f>H128+I128+J128+K128+M128</f>
        <v>16930620.719999999</v>
      </c>
      <c r="H128" s="83">
        <f t="shared" si="36"/>
        <v>3811477.51</v>
      </c>
      <c r="I128" s="83">
        <f t="shared" si="36"/>
        <v>3351399.4800000004</v>
      </c>
      <c r="J128" s="83">
        <f t="shared" ref="J128:M129" si="37">+J132+J136+J140+J144+J148+J152+J156</f>
        <v>2980398.27</v>
      </c>
      <c r="K128" s="83">
        <f t="shared" si="37"/>
        <v>3670049.58</v>
      </c>
      <c r="L128" s="83">
        <f t="shared" si="37"/>
        <v>3020382.51</v>
      </c>
      <c r="M128" s="83">
        <f t="shared" si="37"/>
        <v>3117295.88</v>
      </c>
      <c r="N128" s="259"/>
    </row>
    <row r="129" spans="1:15" ht="21.75" customHeight="1" x14ac:dyDescent="0.25">
      <c r="A129" s="301"/>
      <c r="B129" s="304"/>
      <c r="C129" s="307"/>
      <c r="D129" s="310"/>
      <c r="E129" s="307"/>
      <c r="F129" s="82" t="s">
        <v>17</v>
      </c>
      <c r="G129" s="83">
        <f>H129+I129+J129+K129+M129</f>
        <v>68852750.890000001</v>
      </c>
      <c r="H129" s="83">
        <f t="shared" si="36"/>
        <v>6399100</v>
      </c>
      <c r="I129" s="83">
        <f t="shared" si="36"/>
        <v>14548499.999999998</v>
      </c>
      <c r="J129" s="83">
        <f t="shared" si="37"/>
        <v>14846650.890000001</v>
      </c>
      <c r="K129" s="83">
        <f t="shared" si="37"/>
        <v>17189400</v>
      </c>
      <c r="L129" s="83">
        <f t="shared" si="37"/>
        <v>16644100</v>
      </c>
      <c r="M129" s="83">
        <f t="shared" si="37"/>
        <v>15869100</v>
      </c>
      <c r="N129" s="259"/>
    </row>
    <row r="130" spans="1:15" ht="21.75" customHeight="1" x14ac:dyDescent="0.25">
      <c r="A130" s="247" t="s">
        <v>78</v>
      </c>
      <c r="B130" s="250" t="s">
        <v>64</v>
      </c>
      <c r="C130" s="253" t="s">
        <v>11</v>
      </c>
      <c r="D130" s="262" t="s">
        <v>65</v>
      </c>
      <c r="E130" s="253" t="s">
        <v>153</v>
      </c>
      <c r="F130" s="85" t="s">
        <v>14</v>
      </c>
      <c r="G130" s="86">
        <f t="shared" ref="G130:M130" si="38">G131+G132+G133</f>
        <v>3240284.2800000003</v>
      </c>
      <c r="H130" s="86">
        <f t="shared" si="38"/>
        <v>547300</v>
      </c>
      <c r="I130" s="86">
        <f t="shared" si="38"/>
        <v>708294.28</v>
      </c>
      <c r="J130" s="86">
        <f t="shared" si="38"/>
        <v>721420</v>
      </c>
      <c r="K130" s="86">
        <f t="shared" si="38"/>
        <v>639900</v>
      </c>
      <c r="L130" s="86">
        <f>L131+L132+L133</f>
        <v>638490</v>
      </c>
      <c r="M130" s="86">
        <f t="shared" si="38"/>
        <v>623370</v>
      </c>
      <c r="N130" s="258" t="s">
        <v>66</v>
      </c>
    </row>
    <row r="131" spans="1:15" ht="21.75" customHeight="1" x14ac:dyDescent="0.25">
      <c r="A131" s="248"/>
      <c r="B131" s="251"/>
      <c r="C131" s="254"/>
      <c r="D131" s="263"/>
      <c r="E131" s="254"/>
      <c r="F131" s="85" t="s">
        <v>133</v>
      </c>
      <c r="G131" s="86">
        <f>H131+I131+J131+K131+M131</f>
        <v>2072394.28</v>
      </c>
      <c r="H131" s="86">
        <v>408000</v>
      </c>
      <c r="I131" s="86">
        <f>433440+44154.28</f>
        <v>477594.28</v>
      </c>
      <c r="J131" s="86">
        <f>526320-61920</f>
        <v>464400</v>
      </c>
      <c r="K131" s="86">
        <v>361200</v>
      </c>
      <c r="L131" s="86">
        <v>361200</v>
      </c>
      <c r="M131" s="86">
        <v>361200</v>
      </c>
      <c r="N131" s="259"/>
    </row>
    <row r="132" spans="1:15" ht="21.75" customHeight="1" x14ac:dyDescent="0.25">
      <c r="A132" s="248"/>
      <c r="B132" s="251"/>
      <c r="C132" s="254"/>
      <c r="D132" s="263"/>
      <c r="E132" s="254"/>
      <c r="F132" s="85" t="s">
        <v>16</v>
      </c>
      <c r="G132" s="86">
        <f>H132+I132+J132+K132+M132</f>
        <v>1167890</v>
      </c>
      <c r="H132" s="86">
        <v>139300</v>
      </c>
      <c r="I132" s="86">
        <v>230700</v>
      </c>
      <c r="J132" s="86">
        <v>257020</v>
      </c>
      <c r="K132" s="86">
        <v>278700</v>
      </c>
      <c r="L132" s="86">
        <v>277290</v>
      </c>
      <c r="M132" s="86">
        <v>262170</v>
      </c>
      <c r="N132" s="259"/>
    </row>
    <row r="133" spans="1:15" ht="21.75" customHeight="1" x14ac:dyDescent="0.25">
      <c r="A133" s="249"/>
      <c r="B133" s="252"/>
      <c r="C133" s="254"/>
      <c r="D133" s="264"/>
      <c r="E133" s="255"/>
      <c r="F133" s="85" t="s">
        <v>17</v>
      </c>
      <c r="G133" s="86">
        <f>H133+I133+J133+K133+M133</f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  <c r="N133" s="284"/>
    </row>
    <row r="134" spans="1:15" ht="21.75" customHeight="1" x14ac:dyDescent="0.25">
      <c r="A134" s="247" t="s">
        <v>81</v>
      </c>
      <c r="B134" s="250" t="s">
        <v>67</v>
      </c>
      <c r="C134" s="253" t="s">
        <v>11</v>
      </c>
      <c r="D134" s="268" t="s">
        <v>147</v>
      </c>
      <c r="E134" s="253" t="s">
        <v>153</v>
      </c>
      <c r="F134" s="85" t="s">
        <v>14</v>
      </c>
      <c r="G134" s="86">
        <f t="shared" ref="G134:M134" si="39">G135+G136+G137</f>
        <v>7492612.9000000004</v>
      </c>
      <c r="H134" s="86">
        <f t="shared" si="39"/>
        <v>104312.9</v>
      </c>
      <c r="I134" s="86">
        <f t="shared" si="39"/>
        <v>1803468</v>
      </c>
      <c r="J134" s="86">
        <f t="shared" si="39"/>
        <v>1803468</v>
      </c>
      <c r="K134" s="86">
        <f t="shared" si="39"/>
        <v>1993788</v>
      </c>
      <c r="L134" s="86">
        <f>L135+L136+L137</f>
        <v>1787576</v>
      </c>
      <c r="M134" s="86">
        <f t="shared" si="39"/>
        <v>1787576</v>
      </c>
      <c r="N134" s="258" t="s">
        <v>68</v>
      </c>
    </row>
    <row r="135" spans="1:15" ht="21.75" customHeight="1" x14ac:dyDescent="0.25">
      <c r="A135" s="248"/>
      <c r="B135" s="251"/>
      <c r="C135" s="254"/>
      <c r="D135" s="269"/>
      <c r="E135" s="254"/>
      <c r="F135" s="85" t="s">
        <v>133</v>
      </c>
      <c r="G135" s="86">
        <f>H135+I135+J135+K135+M135</f>
        <v>3901568.9</v>
      </c>
      <c r="H135" s="86">
        <v>104312.9</v>
      </c>
      <c r="I135" s="86">
        <f>500000+401734</f>
        <v>901734</v>
      </c>
      <c r="J135" s="86">
        <v>901734</v>
      </c>
      <c r="K135" s="86">
        <v>1100000</v>
      </c>
      <c r="L135" s="86">
        <v>893788</v>
      </c>
      <c r="M135" s="86">
        <v>893788</v>
      </c>
      <c r="N135" s="259"/>
      <c r="O135" s="95"/>
    </row>
    <row r="136" spans="1:15" ht="21.75" customHeight="1" x14ac:dyDescent="0.25">
      <c r="A136" s="248"/>
      <c r="B136" s="251"/>
      <c r="C136" s="254"/>
      <c r="D136" s="269"/>
      <c r="E136" s="254"/>
      <c r="F136" s="85" t="s">
        <v>16</v>
      </c>
      <c r="G136" s="86">
        <f>H136+I136+J136+K136+M136</f>
        <v>3591044</v>
      </c>
      <c r="H136" s="86"/>
      <c r="I136" s="86">
        <v>901734</v>
      </c>
      <c r="J136" s="86">
        <v>901734</v>
      </c>
      <c r="K136" s="86">
        <v>893788</v>
      </c>
      <c r="L136" s="86">
        <v>893788</v>
      </c>
      <c r="M136" s="86">
        <v>893788</v>
      </c>
      <c r="N136" s="259"/>
    </row>
    <row r="137" spans="1:15" ht="21.75" customHeight="1" x14ac:dyDescent="0.25">
      <c r="A137" s="249"/>
      <c r="B137" s="252"/>
      <c r="C137" s="254"/>
      <c r="D137" s="270"/>
      <c r="E137" s="255"/>
      <c r="F137" s="85" t="s">
        <v>17</v>
      </c>
      <c r="G137" s="86">
        <f>H137+I137+J137+K137+M137</f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284"/>
    </row>
    <row r="138" spans="1:15" ht="21.75" customHeight="1" x14ac:dyDescent="0.25">
      <c r="A138" s="247" t="s">
        <v>83</v>
      </c>
      <c r="B138" s="250" t="s">
        <v>69</v>
      </c>
      <c r="C138" s="253" t="s">
        <v>11</v>
      </c>
      <c r="D138" s="268" t="s">
        <v>147</v>
      </c>
      <c r="E138" s="253" t="s">
        <v>153</v>
      </c>
      <c r="F138" s="85" t="s">
        <v>14</v>
      </c>
      <c r="G138" s="86">
        <f t="shared" ref="G138:M138" si="40">G139+G140+G141</f>
        <v>4037679.9699999997</v>
      </c>
      <c r="H138" s="86">
        <f t="shared" si="40"/>
        <v>2568957</v>
      </c>
      <c r="I138" s="86">
        <f t="shared" si="40"/>
        <v>1360722.97</v>
      </c>
      <c r="J138" s="86">
        <f t="shared" si="40"/>
        <v>0</v>
      </c>
      <c r="K138" s="86">
        <f t="shared" si="40"/>
        <v>108000</v>
      </c>
      <c r="L138" s="86">
        <f>L139+L140+L141</f>
        <v>0</v>
      </c>
      <c r="M138" s="86">
        <f t="shared" si="40"/>
        <v>0</v>
      </c>
      <c r="N138" s="258" t="s">
        <v>70</v>
      </c>
    </row>
    <row r="139" spans="1:15" ht="21.75" customHeight="1" x14ac:dyDescent="0.25">
      <c r="A139" s="248"/>
      <c r="B139" s="251"/>
      <c r="C139" s="254"/>
      <c r="D139" s="269"/>
      <c r="E139" s="254"/>
      <c r="F139" s="85" t="s">
        <v>133</v>
      </c>
      <c r="G139" s="86">
        <f>H139+I139+J139+K139+M139</f>
        <v>1636903.99</v>
      </c>
      <c r="H139" s="86">
        <v>770687.1</v>
      </c>
      <c r="I139" s="86">
        <f>670000-411783.11+500000</f>
        <v>758216.89</v>
      </c>
      <c r="J139" s="86">
        <f>257165-257165</f>
        <v>0</v>
      </c>
      <c r="K139" s="86">
        <v>108000</v>
      </c>
      <c r="L139" s="86">
        <v>0</v>
      </c>
      <c r="M139" s="86">
        <v>0</v>
      </c>
      <c r="N139" s="259"/>
      <c r="O139" s="95"/>
    </row>
    <row r="140" spans="1:15" ht="21.75" customHeight="1" x14ac:dyDescent="0.25">
      <c r="A140" s="248"/>
      <c r="B140" s="251"/>
      <c r="C140" s="254"/>
      <c r="D140" s="269"/>
      <c r="E140" s="254"/>
      <c r="F140" s="85" t="s">
        <v>16</v>
      </c>
      <c r="G140" s="86">
        <f>H140+I140+J140+K140+M140</f>
        <v>2400775.98</v>
      </c>
      <c r="H140" s="86">
        <v>1798269.9</v>
      </c>
      <c r="I140" s="86">
        <v>602506.07999999996</v>
      </c>
      <c r="J140" s="86">
        <f>600051-600051</f>
        <v>0</v>
      </c>
      <c r="K140" s="86">
        <v>0</v>
      </c>
      <c r="L140" s="86">
        <v>0</v>
      </c>
      <c r="M140" s="86">
        <v>0</v>
      </c>
      <c r="N140" s="259"/>
    </row>
    <row r="141" spans="1:15" ht="21.75" customHeight="1" x14ac:dyDescent="0.25">
      <c r="A141" s="249"/>
      <c r="B141" s="252"/>
      <c r="C141" s="254"/>
      <c r="D141" s="270"/>
      <c r="E141" s="255"/>
      <c r="F141" s="85" t="s">
        <v>17</v>
      </c>
      <c r="G141" s="86">
        <f>H141+I141+J141+K141+M141</f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  <c r="N141" s="284"/>
    </row>
    <row r="142" spans="1:15" ht="21.75" customHeight="1" x14ac:dyDescent="0.25">
      <c r="A142" s="247" t="s">
        <v>120</v>
      </c>
      <c r="B142" s="250" t="s">
        <v>72</v>
      </c>
      <c r="C142" s="253" t="s">
        <v>11</v>
      </c>
      <c r="D142" s="268" t="s">
        <v>42</v>
      </c>
      <c r="E142" s="253" t="s">
        <v>153</v>
      </c>
      <c r="F142" s="85" t="s">
        <v>14</v>
      </c>
      <c r="G142" s="86">
        <f t="shared" ref="G142:M142" si="41">G143+G144+G145</f>
        <v>77943557.030000001</v>
      </c>
      <c r="H142" s="86">
        <f t="shared" si="41"/>
        <v>8281288.9000000004</v>
      </c>
      <c r="I142" s="86">
        <f t="shared" si="41"/>
        <v>16181140.539999999</v>
      </c>
      <c r="J142" s="86">
        <f t="shared" si="41"/>
        <v>16514372.370000001</v>
      </c>
      <c r="K142" s="86">
        <f t="shared" si="41"/>
        <v>19118469.050000001</v>
      </c>
      <c r="L142" s="86">
        <f>L143+L144+L145</f>
        <v>18511916.43</v>
      </c>
      <c r="M142" s="86">
        <f t="shared" si="41"/>
        <v>17848286.170000002</v>
      </c>
      <c r="N142" s="258" t="s">
        <v>73</v>
      </c>
    </row>
    <row r="143" spans="1:15" ht="21.75" customHeight="1" x14ac:dyDescent="0.25">
      <c r="A143" s="248"/>
      <c r="B143" s="251"/>
      <c r="C143" s="254"/>
      <c r="D143" s="269"/>
      <c r="E143" s="254"/>
      <c r="F143" s="85" t="s">
        <v>133</v>
      </c>
      <c r="G143" s="86">
        <f>H143+I143+J143+K143+M143</f>
        <v>79511.399999999994</v>
      </c>
      <c r="H143" s="86">
        <v>8281.2900000000009</v>
      </c>
      <c r="I143" s="86">
        <v>16181.139999999996</v>
      </c>
      <c r="J143" s="87">
        <f>17660.82+421.39</f>
        <v>18082.21</v>
      </c>
      <c r="K143" s="87">
        <v>19118.47</v>
      </c>
      <c r="L143" s="87">
        <v>18511.919999999998</v>
      </c>
      <c r="M143" s="87">
        <v>17848.29</v>
      </c>
      <c r="N143" s="259"/>
    </row>
    <row r="144" spans="1:15" ht="21.75" customHeight="1" x14ac:dyDescent="0.25">
      <c r="A144" s="248"/>
      <c r="B144" s="251"/>
      <c r="C144" s="254"/>
      <c r="D144" s="269"/>
      <c r="E144" s="254"/>
      <c r="F144" s="85" t="s">
        <v>16</v>
      </c>
      <c r="G144" s="86">
        <f>H144+I144+J144+K144+M144</f>
        <v>9011294.7400000002</v>
      </c>
      <c r="H144" s="86">
        <f>1873906.61+1</f>
        <v>1873907.61</v>
      </c>
      <c r="I144" s="86">
        <v>1616459.4000000001</v>
      </c>
      <c r="J144" s="87">
        <f>'[4]остатки средств в ФК_3'!$AH$112</f>
        <v>1649639.27</v>
      </c>
      <c r="K144" s="87">
        <v>1909950.58</v>
      </c>
      <c r="L144" s="87">
        <v>1849304.51</v>
      </c>
      <c r="M144" s="87">
        <v>1961337.88</v>
      </c>
      <c r="N144" s="259"/>
    </row>
    <row r="145" spans="1:14" ht="21.75" customHeight="1" x14ac:dyDescent="0.25">
      <c r="A145" s="249"/>
      <c r="B145" s="252"/>
      <c r="C145" s="254"/>
      <c r="D145" s="270"/>
      <c r="E145" s="255"/>
      <c r="F145" s="85" t="s">
        <v>17</v>
      </c>
      <c r="G145" s="86">
        <f>H145+I145+J145+K145+M145</f>
        <v>68852750.890000001</v>
      </c>
      <c r="H145" s="86">
        <v>6399100</v>
      </c>
      <c r="I145" s="86">
        <v>14548499.999999998</v>
      </c>
      <c r="J145" s="87">
        <f>'[4]остатки средств в ФК_3'!$AG$112</f>
        <v>14846650.890000001</v>
      </c>
      <c r="K145" s="87">
        <v>17189400</v>
      </c>
      <c r="L145" s="87">
        <v>16644100</v>
      </c>
      <c r="M145" s="87">
        <v>15869100</v>
      </c>
      <c r="N145" s="284"/>
    </row>
    <row r="146" spans="1:14" ht="21.75" customHeight="1" x14ac:dyDescent="0.25">
      <c r="A146" s="247" t="s">
        <v>86</v>
      </c>
      <c r="B146" s="250" t="s">
        <v>74</v>
      </c>
      <c r="C146" s="253" t="s">
        <v>11</v>
      </c>
      <c r="D146" s="268" t="s">
        <v>42</v>
      </c>
      <c r="E146" s="253" t="s">
        <v>153</v>
      </c>
      <c r="F146" s="85" t="s">
        <v>14</v>
      </c>
      <c r="G146" s="86">
        <f t="shared" ref="G146:M146" si="42">G147+G148+G149</f>
        <v>9021293.0300000012</v>
      </c>
      <c r="H146" s="86">
        <f t="shared" si="42"/>
        <v>0</v>
      </c>
      <c r="I146" s="86">
        <f t="shared" si="42"/>
        <v>0</v>
      </c>
      <c r="J146" s="86">
        <f t="shared" si="42"/>
        <v>2749897.15</v>
      </c>
      <c r="K146" s="86">
        <f t="shared" si="42"/>
        <v>3885684.72</v>
      </c>
      <c r="L146" s="86">
        <f>L147+L148+L149</f>
        <v>2385722.9</v>
      </c>
      <c r="M146" s="86">
        <f t="shared" si="42"/>
        <v>2385711.16</v>
      </c>
      <c r="N146" s="258" t="s">
        <v>75</v>
      </c>
    </row>
    <row r="147" spans="1:14" ht="21.75" customHeight="1" x14ac:dyDescent="0.25">
      <c r="A147" s="248"/>
      <c r="B147" s="251"/>
      <c r="C147" s="254"/>
      <c r="D147" s="269"/>
      <c r="E147" s="254"/>
      <c r="F147" s="85" t="s">
        <v>133</v>
      </c>
      <c r="G147" s="86">
        <f>H147+I147+J147+K147+M147</f>
        <v>9021293.0300000012</v>
      </c>
      <c r="H147" s="86"/>
      <c r="I147" s="86"/>
      <c r="J147" s="86">
        <v>2749897.15</v>
      </c>
      <c r="K147" s="86">
        <v>3885684.72</v>
      </c>
      <c r="L147" s="86">
        <v>2385722.9</v>
      </c>
      <c r="M147" s="86">
        <v>2385711.16</v>
      </c>
      <c r="N147" s="259"/>
    </row>
    <row r="148" spans="1:14" ht="21.75" customHeight="1" x14ac:dyDescent="0.25">
      <c r="A148" s="248"/>
      <c r="B148" s="251"/>
      <c r="C148" s="254"/>
      <c r="D148" s="269"/>
      <c r="E148" s="254"/>
      <c r="F148" s="85" t="s">
        <v>16</v>
      </c>
      <c r="G148" s="86">
        <f>H148+I148+J148+K148+M148</f>
        <v>0</v>
      </c>
      <c r="H148" s="86"/>
      <c r="I148" s="86"/>
      <c r="J148" s="86">
        <v>0</v>
      </c>
      <c r="K148" s="86">
        <v>0</v>
      </c>
      <c r="L148" s="86">
        <v>0</v>
      </c>
      <c r="M148" s="86">
        <v>0</v>
      </c>
      <c r="N148" s="259"/>
    </row>
    <row r="149" spans="1:14" ht="21.75" customHeight="1" x14ac:dyDescent="0.25">
      <c r="A149" s="249"/>
      <c r="B149" s="252"/>
      <c r="C149" s="254"/>
      <c r="D149" s="270"/>
      <c r="E149" s="255"/>
      <c r="F149" s="85" t="s">
        <v>17</v>
      </c>
      <c r="G149" s="86">
        <f>H149+I149+J149+K149+M149</f>
        <v>0</v>
      </c>
      <c r="H149" s="86"/>
      <c r="I149" s="86"/>
      <c r="J149" s="86">
        <v>0</v>
      </c>
      <c r="K149" s="86">
        <v>0</v>
      </c>
      <c r="L149" s="86">
        <v>0</v>
      </c>
      <c r="M149" s="86">
        <v>0</v>
      </c>
      <c r="N149" s="284"/>
    </row>
    <row r="150" spans="1:14" ht="21.75" customHeight="1" x14ac:dyDescent="0.25">
      <c r="A150" s="247" t="s">
        <v>121</v>
      </c>
      <c r="B150" s="250" t="s">
        <v>76</v>
      </c>
      <c r="C150" s="253" t="s">
        <v>11</v>
      </c>
      <c r="D150" s="268" t="s">
        <v>42</v>
      </c>
      <c r="E150" s="253" t="s">
        <v>153</v>
      </c>
      <c r="F150" s="85" t="s">
        <v>14</v>
      </c>
      <c r="G150" s="86">
        <f t="shared" ref="G150:M150" si="43">G151+G152+G153</f>
        <v>4107171.49</v>
      </c>
      <c r="H150" s="86">
        <f t="shared" si="43"/>
        <v>0</v>
      </c>
      <c r="I150" s="86">
        <f t="shared" si="43"/>
        <v>0</v>
      </c>
      <c r="J150" s="86">
        <f t="shared" si="43"/>
        <v>1646729.49</v>
      </c>
      <c r="K150" s="86">
        <f t="shared" si="43"/>
        <v>1630221</v>
      </c>
      <c r="L150" s="86">
        <f>L151+L152+L153</f>
        <v>830221</v>
      </c>
      <c r="M150" s="86">
        <f t="shared" si="43"/>
        <v>830221</v>
      </c>
      <c r="N150" s="258" t="s">
        <v>77</v>
      </c>
    </row>
    <row r="151" spans="1:14" ht="21.75" customHeight="1" x14ac:dyDescent="0.25">
      <c r="A151" s="248"/>
      <c r="B151" s="251"/>
      <c r="C151" s="254"/>
      <c r="D151" s="269"/>
      <c r="E151" s="254"/>
      <c r="F151" s="85" t="s">
        <v>133</v>
      </c>
      <c r="G151" s="86">
        <f>H151+I151+J151+K151+M151</f>
        <v>4107171.49</v>
      </c>
      <c r="H151" s="86"/>
      <c r="I151" s="86"/>
      <c r="J151" s="86">
        <v>1646729.49</v>
      </c>
      <c r="K151" s="86">
        <v>1630221</v>
      </c>
      <c r="L151" s="86">
        <v>830221</v>
      </c>
      <c r="M151" s="86">
        <v>830221</v>
      </c>
      <c r="N151" s="259"/>
    </row>
    <row r="152" spans="1:14" ht="21.75" customHeight="1" x14ac:dyDescent="0.25">
      <c r="A152" s="248"/>
      <c r="B152" s="251"/>
      <c r="C152" s="254"/>
      <c r="D152" s="269"/>
      <c r="E152" s="254"/>
      <c r="F152" s="85" t="s">
        <v>16</v>
      </c>
      <c r="G152" s="86">
        <f>H152+I152+J152+K152+M152</f>
        <v>0</v>
      </c>
      <c r="H152" s="86"/>
      <c r="I152" s="86"/>
      <c r="J152" s="86">
        <v>0</v>
      </c>
      <c r="K152" s="86">
        <v>0</v>
      </c>
      <c r="L152" s="86">
        <v>0</v>
      </c>
      <c r="M152" s="86">
        <v>0</v>
      </c>
      <c r="N152" s="259"/>
    </row>
    <row r="153" spans="1:14" ht="21.75" customHeight="1" x14ac:dyDescent="0.25">
      <c r="A153" s="249"/>
      <c r="B153" s="252"/>
      <c r="C153" s="254"/>
      <c r="D153" s="270"/>
      <c r="E153" s="255"/>
      <c r="F153" s="85" t="s">
        <v>17</v>
      </c>
      <c r="G153" s="86">
        <f>H153+I153+J153+K153+M153</f>
        <v>0</v>
      </c>
      <c r="H153" s="86"/>
      <c r="I153" s="86"/>
      <c r="J153" s="86">
        <v>0</v>
      </c>
      <c r="K153" s="86">
        <v>0</v>
      </c>
      <c r="L153" s="86">
        <v>0</v>
      </c>
      <c r="M153" s="86">
        <v>0</v>
      </c>
      <c r="N153" s="284"/>
    </row>
    <row r="154" spans="1:14" ht="21.75" customHeight="1" x14ac:dyDescent="0.25">
      <c r="A154" s="247" t="s">
        <v>89</v>
      </c>
      <c r="B154" s="287" t="s">
        <v>136</v>
      </c>
      <c r="C154" s="290" t="s">
        <v>11</v>
      </c>
      <c r="D154" s="292" t="s">
        <v>42</v>
      </c>
      <c r="E154" s="290" t="s">
        <v>153</v>
      </c>
      <c r="F154" s="91" t="s">
        <v>14</v>
      </c>
      <c r="G154" s="87">
        <f t="shared" ref="G154:M154" si="44">G155+G156+G157</f>
        <v>759616</v>
      </c>
      <c r="H154" s="87">
        <f t="shared" si="44"/>
        <v>0</v>
      </c>
      <c r="I154" s="87">
        <f t="shared" si="44"/>
        <v>0</v>
      </c>
      <c r="J154" s="87">
        <f t="shared" si="44"/>
        <v>172005</v>
      </c>
      <c r="K154" s="87">
        <f t="shared" si="44"/>
        <v>587611</v>
      </c>
      <c r="L154" s="87">
        <f t="shared" si="44"/>
        <v>0</v>
      </c>
      <c r="M154" s="87">
        <f t="shared" si="44"/>
        <v>0</v>
      </c>
      <c r="N154" s="296" t="s">
        <v>137</v>
      </c>
    </row>
    <row r="155" spans="1:14" ht="21.75" customHeight="1" x14ac:dyDescent="0.25">
      <c r="A155" s="248"/>
      <c r="B155" s="288"/>
      <c r="C155" s="291"/>
      <c r="D155" s="293"/>
      <c r="E155" s="291"/>
      <c r="F155" s="91" t="s">
        <v>15</v>
      </c>
      <c r="G155" s="87">
        <f>H155+I155+J155+K155+L155</f>
        <v>0</v>
      </c>
      <c r="H155" s="87"/>
      <c r="I155" s="87"/>
      <c r="J155" s="87">
        <v>0</v>
      </c>
      <c r="K155" s="87">
        <v>0</v>
      </c>
      <c r="L155" s="87">
        <v>0</v>
      </c>
      <c r="M155" s="87">
        <v>0</v>
      </c>
      <c r="N155" s="297"/>
    </row>
    <row r="156" spans="1:14" ht="21.75" customHeight="1" x14ac:dyDescent="0.25">
      <c r="A156" s="248"/>
      <c r="B156" s="288"/>
      <c r="C156" s="291"/>
      <c r="D156" s="293"/>
      <c r="E156" s="291"/>
      <c r="F156" s="91" t="s">
        <v>16</v>
      </c>
      <c r="G156" s="87">
        <f>H156+I156+J156+K156+L156</f>
        <v>759616</v>
      </c>
      <c r="H156" s="87"/>
      <c r="I156" s="87"/>
      <c r="J156" s="87">
        <v>172005</v>
      </c>
      <c r="K156" s="87">
        <v>587611</v>
      </c>
      <c r="L156" s="87">
        <v>0</v>
      </c>
      <c r="M156" s="87">
        <v>0</v>
      </c>
      <c r="N156" s="297"/>
    </row>
    <row r="157" spans="1:14" ht="21.75" customHeight="1" x14ac:dyDescent="0.25">
      <c r="A157" s="249"/>
      <c r="B157" s="289"/>
      <c r="C157" s="291"/>
      <c r="D157" s="294"/>
      <c r="E157" s="295"/>
      <c r="F157" s="91" t="s">
        <v>17</v>
      </c>
      <c r="G157" s="87">
        <f>H157+I157+J157+K157+L157</f>
        <v>0</v>
      </c>
      <c r="H157" s="87"/>
      <c r="I157" s="87"/>
      <c r="J157" s="87">
        <v>0</v>
      </c>
      <c r="K157" s="87">
        <v>0</v>
      </c>
      <c r="L157" s="87">
        <v>0</v>
      </c>
      <c r="M157" s="87">
        <v>0</v>
      </c>
      <c r="N157" s="298"/>
    </row>
    <row r="158" spans="1:14" ht="22.5" customHeight="1" x14ac:dyDescent="0.25">
      <c r="A158" s="238"/>
      <c r="B158" s="241" t="s">
        <v>143</v>
      </c>
      <c r="C158" s="244" t="s">
        <v>11</v>
      </c>
      <c r="D158" s="279" t="s">
        <v>12</v>
      </c>
      <c r="E158" s="244" t="s">
        <v>153</v>
      </c>
      <c r="F158" s="79" t="s">
        <v>14</v>
      </c>
      <c r="G158" s="80">
        <f t="shared" ref="G158:M158" si="45">G159+G160+G161</f>
        <v>350062010.94</v>
      </c>
      <c r="H158" s="80">
        <f>H159+H160+H161</f>
        <v>33765416.269999996</v>
      </c>
      <c r="I158" s="80">
        <f>I159+I160+I161</f>
        <v>51849700.129999995</v>
      </c>
      <c r="J158" s="80">
        <f>J159+J160+J161</f>
        <v>175908008.94999999</v>
      </c>
      <c r="K158" s="80">
        <f t="shared" si="45"/>
        <v>83401561.980000004</v>
      </c>
      <c r="L158" s="80">
        <f>L159+L160+L161</f>
        <v>5032773.8599999994</v>
      </c>
      <c r="M158" s="80">
        <f t="shared" si="45"/>
        <v>5137323.6099999994</v>
      </c>
      <c r="N158" s="274"/>
    </row>
    <row r="159" spans="1:14" ht="22.5" customHeight="1" x14ac:dyDescent="0.25">
      <c r="A159" s="239"/>
      <c r="B159" s="242"/>
      <c r="C159" s="245"/>
      <c r="D159" s="285"/>
      <c r="E159" s="245"/>
      <c r="F159" s="79" t="s">
        <v>133</v>
      </c>
      <c r="G159" s="80">
        <f>H159+I159+J159+K159+M159</f>
        <v>60203099.280000001</v>
      </c>
      <c r="H159" s="80">
        <f>H163+H195+H207+H211+H199+H203+H219+H223+H215+H171+H183+H175+H179+H187+H191+H167</f>
        <v>11096398.129999999</v>
      </c>
      <c r="I159" s="80">
        <f t="shared" ref="I159:M159" si="46">I163+I195+I207+I211+I199+I203+I219+I223+I215+I171+I183+I175+I179+I187+I191+I167</f>
        <v>13999034.969999999</v>
      </c>
      <c r="J159" s="80">
        <f t="shared" si="46"/>
        <v>16915030.59</v>
      </c>
      <c r="K159" s="80">
        <f t="shared" si="46"/>
        <v>13055311.98</v>
      </c>
      <c r="L159" s="80">
        <f t="shared" si="46"/>
        <v>5032773.8599999994</v>
      </c>
      <c r="M159" s="80">
        <f t="shared" si="46"/>
        <v>5137323.6099999994</v>
      </c>
      <c r="N159" s="275"/>
    </row>
    <row r="160" spans="1:14" ht="22.5" customHeight="1" x14ac:dyDescent="0.25">
      <c r="A160" s="239"/>
      <c r="B160" s="242"/>
      <c r="C160" s="245"/>
      <c r="D160" s="285"/>
      <c r="E160" s="245"/>
      <c r="F160" s="79" t="s">
        <v>16</v>
      </c>
      <c r="G160" s="80">
        <f>H160+I160+J160+K160+M160</f>
        <v>101724995.23</v>
      </c>
      <c r="H160" s="80">
        <f t="shared" ref="H160:M161" si="47">H164+H196+H208+H212+H200+H204+H220+H224+H216+H172+H184+H176+H180+H188+H192+H168</f>
        <v>19227384.140000001</v>
      </c>
      <c r="I160" s="80">
        <f t="shared" si="47"/>
        <v>17200900.700000003</v>
      </c>
      <c r="J160" s="80">
        <f t="shared" si="47"/>
        <v>24353296.359999999</v>
      </c>
      <c r="K160" s="80">
        <f t="shared" si="47"/>
        <v>40943414.030000001</v>
      </c>
      <c r="L160" s="80">
        <f t="shared" si="47"/>
        <v>0</v>
      </c>
      <c r="M160" s="80">
        <f t="shared" si="47"/>
        <v>0</v>
      </c>
      <c r="N160" s="275"/>
    </row>
    <row r="161" spans="1:26" ht="22.5" customHeight="1" x14ac:dyDescent="0.25">
      <c r="A161" s="240"/>
      <c r="B161" s="243"/>
      <c r="C161" s="246"/>
      <c r="D161" s="286"/>
      <c r="E161" s="246"/>
      <c r="F161" s="79" t="s">
        <v>17</v>
      </c>
      <c r="G161" s="80">
        <f>H161+I161+J161+K161+M161</f>
        <v>188133916.43000001</v>
      </c>
      <c r="H161" s="80">
        <f t="shared" si="47"/>
        <v>3441634</v>
      </c>
      <c r="I161" s="80">
        <f t="shared" si="47"/>
        <v>20649764.459999997</v>
      </c>
      <c r="J161" s="80">
        <f t="shared" si="47"/>
        <v>134639682</v>
      </c>
      <c r="K161" s="80">
        <f t="shared" si="47"/>
        <v>29402835.969999999</v>
      </c>
      <c r="L161" s="80">
        <f t="shared" si="47"/>
        <v>0</v>
      </c>
      <c r="M161" s="80">
        <f t="shared" si="47"/>
        <v>0</v>
      </c>
      <c r="N161" s="276"/>
      <c r="Z161" s="61"/>
    </row>
    <row r="162" spans="1:26" ht="21.75" customHeight="1" x14ac:dyDescent="0.25">
      <c r="A162" s="247" t="s">
        <v>18</v>
      </c>
      <c r="B162" s="250" t="s">
        <v>79</v>
      </c>
      <c r="C162" s="253" t="s">
        <v>11</v>
      </c>
      <c r="D162" s="268" t="s">
        <v>42</v>
      </c>
      <c r="E162" s="253" t="s">
        <v>153</v>
      </c>
      <c r="F162" s="85" t="s">
        <v>14</v>
      </c>
      <c r="G162" s="86">
        <f t="shared" ref="G162:M162" si="48">G163+G164+G165</f>
        <v>61868253.679999992</v>
      </c>
      <c r="H162" s="86">
        <f t="shared" si="48"/>
        <v>14048396.27</v>
      </c>
      <c r="I162" s="86">
        <f t="shared" si="48"/>
        <v>23290645.129999999</v>
      </c>
      <c r="J162" s="87">
        <f t="shared" si="48"/>
        <v>10367208.279999999</v>
      </c>
      <c r="K162" s="86">
        <f t="shared" si="48"/>
        <v>13852004</v>
      </c>
      <c r="L162" s="86">
        <f>L163+L164+L165</f>
        <v>310000</v>
      </c>
      <c r="M162" s="86">
        <f t="shared" si="48"/>
        <v>310000</v>
      </c>
      <c r="N162" s="258" t="s">
        <v>148</v>
      </c>
    </row>
    <row r="163" spans="1:26" ht="21.75" customHeight="1" x14ac:dyDescent="0.25">
      <c r="A163" s="248"/>
      <c r="B163" s="251"/>
      <c r="C163" s="254"/>
      <c r="D163" s="269"/>
      <c r="E163" s="254"/>
      <c r="F163" s="85" t="s">
        <v>133</v>
      </c>
      <c r="G163" s="86">
        <f>H163+I163+J163+K163+M163</f>
        <v>25264870.379999995</v>
      </c>
      <c r="H163" s="86">
        <v>4977603.13</v>
      </c>
      <c r="I163" s="86">
        <f>7673601.18+600000+400000-13542.21+500000</f>
        <v>9160058.9699999988</v>
      </c>
      <c r="J163" s="87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86">
        <f>450000</f>
        <v>450000</v>
      </c>
      <c r="L163" s="86">
        <f>60000+250000</f>
        <v>310000</v>
      </c>
      <c r="M163" s="86">
        <v>310000</v>
      </c>
      <c r="N163" s="259"/>
      <c r="P163" s="61">
        <f>1759000+1400000+4507295+1195000</f>
        <v>8861295</v>
      </c>
      <c r="Q163" s="61">
        <f>P163-O163</f>
        <v>8861295</v>
      </c>
    </row>
    <row r="164" spans="1:26" ht="21.75" customHeight="1" x14ac:dyDescent="0.25">
      <c r="A164" s="248"/>
      <c r="B164" s="251"/>
      <c r="C164" s="254"/>
      <c r="D164" s="269"/>
      <c r="E164" s="254"/>
      <c r="F164" s="85" t="s">
        <v>16</v>
      </c>
      <c r="G164" s="86">
        <f>H164+I164+J164+K164+M164</f>
        <v>36603383.299999997</v>
      </c>
      <c r="H164" s="86">
        <f>3714220.8+5356572.34</f>
        <v>9070793.1400000006</v>
      </c>
      <c r="I164" s="86">
        <v>14130586.16</v>
      </c>
      <c r="J164" s="87">
        <f>1500000-1500000</f>
        <v>0</v>
      </c>
      <c r="K164" s="86">
        <f>16686400+1076000-1370000-490396-2500000</f>
        <v>13402004</v>
      </c>
      <c r="L164" s="86">
        <v>0</v>
      </c>
      <c r="M164" s="86">
        <v>0</v>
      </c>
      <c r="N164" s="259"/>
      <c r="Q164" s="61"/>
    </row>
    <row r="165" spans="1:26" ht="21.75" customHeight="1" x14ac:dyDescent="0.25">
      <c r="A165" s="249"/>
      <c r="B165" s="252"/>
      <c r="C165" s="255"/>
      <c r="D165" s="270"/>
      <c r="E165" s="255"/>
      <c r="F165" s="85" t="s">
        <v>17</v>
      </c>
      <c r="G165" s="86">
        <f>H165+I165+J165+K165+M165</f>
        <v>0</v>
      </c>
      <c r="H165" s="86">
        <v>0</v>
      </c>
      <c r="I165" s="86">
        <v>0</v>
      </c>
      <c r="J165" s="87">
        <v>0</v>
      </c>
      <c r="K165" s="86">
        <v>0</v>
      </c>
      <c r="L165" s="86">
        <v>0</v>
      </c>
      <c r="M165" s="86">
        <v>0</v>
      </c>
      <c r="N165" s="259"/>
      <c r="O165" s="61"/>
    </row>
    <row r="166" spans="1:26" ht="21.75" customHeight="1" x14ac:dyDescent="0.25">
      <c r="A166" s="247" t="s">
        <v>25</v>
      </c>
      <c r="B166" s="250" t="s">
        <v>119</v>
      </c>
      <c r="C166" s="253" t="s">
        <v>11</v>
      </c>
      <c r="D166" s="268" t="s">
        <v>80</v>
      </c>
      <c r="E166" s="253" t="s">
        <v>153</v>
      </c>
      <c r="F166" s="85" t="s">
        <v>14</v>
      </c>
      <c r="G166" s="86">
        <f t="shared" ref="G166:K166" si="49">G167+G168+G169</f>
        <v>207594448.94</v>
      </c>
      <c r="H166" s="86">
        <f t="shared" si="49"/>
        <v>0</v>
      </c>
      <c r="I166" s="86">
        <f t="shared" si="49"/>
        <v>0</v>
      </c>
      <c r="J166" s="87">
        <f t="shared" si="49"/>
        <v>160296473.78</v>
      </c>
      <c r="K166" s="86">
        <f t="shared" si="49"/>
        <v>47297975.159999996</v>
      </c>
      <c r="L166" s="86">
        <f>L167+L168+L169</f>
        <v>0</v>
      </c>
      <c r="M166" s="86">
        <f t="shared" ref="M166" si="50">M167+M168+M169</f>
        <v>0</v>
      </c>
      <c r="N166" s="259"/>
    </row>
    <row r="167" spans="1:26" ht="21.75" customHeight="1" x14ac:dyDescent="0.25">
      <c r="A167" s="248"/>
      <c r="B167" s="251"/>
      <c r="C167" s="254"/>
      <c r="D167" s="269"/>
      <c r="E167" s="254"/>
      <c r="F167" s="85" t="s">
        <v>133</v>
      </c>
      <c r="G167" s="86">
        <f>H167+I167+J167+K167+M167</f>
        <v>7162202.0599999996</v>
      </c>
      <c r="H167" s="86">
        <v>0</v>
      </c>
      <c r="I167" s="86">
        <v>0</v>
      </c>
      <c r="J167" s="87">
        <v>3291454.2199999997</v>
      </c>
      <c r="K167" s="86">
        <f>337451+3533296.84</f>
        <v>3870747.84</v>
      </c>
      <c r="L167" s="86">
        <v>0</v>
      </c>
      <c r="M167" s="86">
        <v>0</v>
      </c>
      <c r="N167" s="259"/>
      <c r="P167" s="61">
        <f>1759000+1400000+4507295+1195000</f>
        <v>8861295</v>
      </c>
      <c r="Q167" s="61">
        <f>P167-O167</f>
        <v>8861295</v>
      </c>
    </row>
    <row r="168" spans="1:26" ht="21.75" customHeight="1" x14ac:dyDescent="0.25">
      <c r="A168" s="248"/>
      <c r="B168" s="251"/>
      <c r="C168" s="254"/>
      <c r="D168" s="269"/>
      <c r="E168" s="254"/>
      <c r="F168" s="85" t="s">
        <v>16</v>
      </c>
      <c r="G168" s="86">
        <f>H168+I168+J168+K168+M168</f>
        <v>37994164.879999995</v>
      </c>
      <c r="H168" s="86">
        <v>0</v>
      </c>
      <c r="I168" s="86">
        <v>0</v>
      </c>
      <c r="J168" s="87">
        <v>22365337.559999999</v>
      </c>
      <c r="K168" s="86">
        <v>15628827.32</v>
      </c>
      <c r="L168" s="86">
        <v>0</v>
      </c>
      <c r="M168" s="86">
        <v>0</v>
      </c>
      <c r="N168" s="259"/>
      <c r="Q168" s="61"/>
    </row>
    <row r="169" spans="1:26" ht="21.75" customHeight="1" x14ac:dyDescent="0.25">
      <c r="A169" s="249"/>
      <c r="B169" s="252"/>
      <c r="C169" s="254"/>
      <c r="D169" s="270"/>
      <c r="E169" s="255"/>
      <c r="F169" s="85" t="s">
        <v>17</v>
      </c>
      <c r="G169" s="86">
        <f>H169+I169+J169+K169+M169</f>
        <v>162438082</v>
      </c>
      <c r="H169" s="86">
        <v>0</v>
      </c>
      <c r="I169" s="86">
        <v>0</v>
      </c>
      <c r="J169" s="87">
        <v>134639682</v>
      </c>
      <c r="K169" s="86">
        <v>27798400</v>
      </c>
      <c r="L169" s="86">
        <v>0</v>
      </c>
      <c r="M169" s="86">
        <v>0</v>
      </c>
      <c r="N169" s="259"/>
      <c r="O169" s="61"/>
    </row>
    <row r="170" spans="1:26" ht="21.75" customHeight="1" x14ac:dyDescent="0.25">
      <c r="A170" s="247" t="s">
        <v>25</v>
      </c>
      <c r="B170" s="250" t="s">
        <v>155</v>
      </c>
      <c r="C170" s="253" t="s">
        <v>11</v>
      </c>
      <c r="D170" s="268" t="s">
        <v>80</v>
      </c>
      <c r="E170" s="253" t="s">
        <v>153</v>
      </c>
      <c r="F170" s="85" t="s">
        <v>14</v>
      </c>
      <c r="G170" s="86">
        <f t="shared" ref="G170:M170" si="51">G171+G172+G173</f>
        <v>1106622.68</v>
      </c>
      <c r="H170" s="86">
        <f t="shared" si="51"/>
        <v>0</v>
      </c>
      <c r="I170" s="86">
        <f t="shared" si="51"/>
        <v>0</v>
      </c>
      <c r="J170" s="87">
        <f t="shared" si="51"/>
        <v>0</v>
      </c>
      <c r="K170" s="86">
        <f t="shared" si="51"/>
        <v>1106622.68</v>
      </c>
      <c r="L170" s="86">
        <f>L171+L172+L173</f>
        <v>0</v>
      </c>
      <c r="M170" s="86">
        <f t="shared" si="51"/>
        <v>0</v>
      </c>
      <c r="N170" s="259"/>
    </row>
    <row r="171" spans="1:26" ht="21.75" customHeight="1" x14ac:dyDescent="0.25">
      <c r="A171" s="248"/>
      <c r="B171" s="251"/>
      <c r="C171" s="254"/>
      <c r="D171" s="269"/>
      <c r="E171" s="254"/>
      <c r="F171" s="85" t="s">
        <v>133</v>
      </c>
      <c r="G171" s="86">
        <f>H171+I171+J171+K171+M171</f>
        <v>0</v>
      </c>
      <c r="H171" s="86">
        <v>0</v>
      </c>
      <c r="I171" s="86">
        <v>0</v>
      </c>
      <c r="J171" s="87">
        <v>0</v>
      </c>
      <c r="K171" s="86"/>
      <c r="L171" s="86">
        <v>0</v>
      </c>
      <c r="M171" s="86">
        <v>0</v>
      </c>
      <c r="N171" s="259"/>
      <c r="P171" s="61">
        <f>1759000+1400000+4507295+1195000</f>
        <v>8861295</v>
      </c>
      <c r="Q171" s="61">
        <f>P171-O171</f>
        <v>8861295</v>
      </c>
    </row>
    <row r="172" spans="1:26" ht="21.75" customHeight="1" x14ac:dyDescent="0.25">
      <c r="A172" s="248"/>
      <c r="B172" s="251"/>
      <c r="C172" s="254"/>
      <c r="D172" s="269"/>
      <c r="E172" s="254"/>
      <c r="F172" s="85" t="s">
        <v>16</v>
      </c>
      <c r="G172" s="86">
        <f>H172+I172+J172+K172+M172</f>
        <v>1106622.68</v>
      </c>
      <c r="H172" s="86">
        <v>0</v>
      </c>
      <c r="I172" s="86">
        <v>0</v>
      </c>
      <c r="J172" s="87">
        <v>0</v>
      </c>
      <c r="K172" s="86">
        <v>1106622.68</v>
      </c>
      <c r="L172" s="86">
        <v>0</v>
      </c>
      <c r="M172" s="86">
        <v>0</v>
      </c>
      <c r="N172" s="259"/>
      <c r="Q172" s="61"/>
    </row>
    <row r="173" spans="1:26" ht="21.75" customHeight="1" x14ac:dyDescent="0.25">
      <c r="A173" s="249"/>
      <c r="B173" s="252"/>
      <c r="C173" s="254"/>
      <c r="D173" s="270"/>
      <c r="E173" s="255"/>
      <c r="F173" s="85" t="s">
        <v>17</v>
      </c>
      <c r="G173" s="86">
        <f>H173+I173+J173+K173+M173</f>
        <v>0</v>
      </c>
      <c r="H173" s="86">
        <v>0</v>
      </c>
      <c r="I173" s="86">
        <v>0</v>
      </c>
      <c r="J173" s="87">
        <v>0</v>
      </c>
      <c r="K173" s="86"/>
      <c r="L173" s="86">
        <v>0</v>
      </c>
      <c r="M173" s="86">
        <v>0</v>
      </c>
      <c r="N173" s="259"/>
      <c r="O173" s="61"/>
    </row>
    <row r="174" spans="1:26" ht="21.75" customHeight="1" x14ac:dyDescent="0.25">
      <c r="A174" s="247" t="s">
        <v>44</v>
      </c>
      <c r="B174" s="250" t="s">
        <v>59</v>
      </c>
      <c r="C174" s="253" t="s">
        <v>11</v>
      </c>
      <c r="D174" s="262" t="s">
        <v>60</v>
      </c>
      <c r="E174" s="253" t="s">
        <v>153</v>
      </c>
      <c r="F174" s="85" t="s">
        <v>14</v>
      </c>
      <c r="G174" s="86">
        <f t="shared" ref="G174:M174" si="52">G175+G176+G177</f>
        <v>22025521</v>
      </c>
      <c r="H174" s="86">
        <f t="shared" si="52"/>
        <v>12027171</v>
      </c>
      <c r="I174" s="86">
        <f t="shared" si="52"/>
        <v>2498350</v>
      </c>
      <c r="J174" s="86">
        <f t="shared" si="52"/>
        <v>0</v>
      </c>
      <c r="K174" s="86">
        <f t="shared" si="52"/>
        <v>7500000</v>
      </c>
      <c r="L174" s="86">
        <f t="shared" si="52"/>
        <v>0</v>
      </c>
      <c r="M174" s="86">
        <f t="shared" si="52"/>
        <v>0</v>
      </c>
      <c r="N174" s="259"/>
    </row>
    <row r="175" spans="1:26" ht="21.75" customHeight="1" x14ac:dyDescent="0.25">
      <c r="A175" s="248"/>
      <c r="B175" s="251"/>
      <c r="C175" s="254"/>
      <c r="D175" s="263"/>
      <c r="E175" s="254"/>
      <c r="F175" s="85" t="s">
        <v>133</v>
      </c>
      <c r="G175" s="86">
        <f>H175+I175+J175+K175+M175</f>
        <v>2477901</v>
      </c>
      <c r="H175" s="86">
        <v>900000</v>
      </c>
      <c r="I175" s="86">
        <v>77901</v>
      </c>
      <c r="J175" s="86">
        <v>0</v>
      </c>
      <c r="K175" s="86">
        <v>1500000</v>
      </c>
      <c r="L175" s="86">
        <v>0</v>
      </c>
      <c r="M175" s="86">
        <v>0</v>
      </c>
      <c r="N175" s="259"/>
    </row>
    <row r="176" spans="1:26" ht="21.75" customHeight="1" x14ac:dyDescent="0.25">
      <c r="A176" s="248"/>
      <c r="B176" s="251"/>
      <c r="C176" s="254"/>
      <c r="D176" s="263"/>
      <c r="E176" s="254"/>
      <c r="F176" s="85" t="s">
        <v>16</v>
      </c>
      <c r="G176" s="86">
        <f>H176+I176+J176+K176+M176</f>
        <v>13745422.969999999</v>
      </c>
      <c r="H176" s="86">
        <v>7685537</v>
      </c>
      <c r="I176" s="86">
        <f>464321.94+1200000</f>
        <v>1664321.94</v>
      </c>
      <c r="J176" s="86">
        <v>0</v>
      </c>
      <c r="K176" s="86">
        <v>4395564.03</v>
      </c>
      <c r="L176" s="86">
        <v>0</v>
      </c>
      <c r="M176" s="86">
        <v>0</v>
      </c>
      <c r="N176" s="259"/>
    </row>
    <row r="177" spans="1:17" ht="21.75" customHeight="1" x14ac:dyDescent="0.25">
      <c r="A177" s="249"/>
      <c r="B177" s="252"/>
      <c r="C177" s="254"/>
      <c r="D177" s="264"/>
      <c r="E177" s="255"/>
      <c r="F177" s="85" t="s">
        <v>17</v>
      </c>
      <c r="G177" s="86">
        <f>H177+I177+J177+K177+M177</f>
        <v>5802197.0300000003</v>
      </c>
      <c r="H177" s="86">
        <v>3441634</v>
      </c>
      <c r="I177" s="86">
        <v>756127.06</v>
      </c>
      <c r="J177" s="86">
        <v>0</v>
      </c>
      <c r="K177" s="86">
        <v>1604435.97</v>
      </c>
      <c r="L177" s="86">
        <v>0</v>
      </c>
      <c r="M177" s="86">
        <v>0</v>
      </c>
      <c r="N177" s="259"/>
    </row>
    <row r="178" spans="1:17" s="31" customFormat="1" ht="21.75" customHeight="1" x14ac:dyDescent="0.3">
      <c r="A178" s="247" t="s">
        <v>78</v>
      </c>
      <c r="B178" s="250" t="s">
        <v>61</v>
      </c>
      <c r="C178" s="253" t="s">
        <v>11</v>
      </c>
      <c r="D178" s="281" t="s">
        <v>62</v>
      </c>
      <c r="E178" s="253" t="s">
        <v>153</v>
      </c>
      <c r="F178" s="85" t="s">
        <v>14</v>
      </c>
      <c r="G178" s="86">
        <f t="shared" ref="G178:M178" si="53">G179+G180+G181</f>
        <v>21151290</v>
      </c>
      <c r="H178" s="86">
        <f t="shared" si="53"/>
        <v>0</v>
      </c>
      <c r="I178" s="86">
        <f t="shared" si="53"/>
        <v>21151290</v>
      </c>
      <c r="J178" s="86">
        <f t="shared" si="53"/>
        <v>0</v>
      </c>
      <c r="K178" s="86">
        <f t="shared" si="53"/>
        <v>0</v>
      </c>
      <c r="L178" s="86">
        <f t="shared" si="53"/>
        <v>0</v>
      </c>
      <c r="M178" s="86">
        <f t="shared" si="53"/>
        <v>0</v>
      </c>
      <c r="N178" s="259"/>
    </row>
    <row r="179" spans="1:17" s="31" customFormat="1" ht="21.75" customHeight="1" x14ac:dyDescent="0.3">
      <c r="A179" s="248"/>
      <c r="B179" s="251"/>
      <c r="C179" s="254"/>
      <c r="D179" s="282"/>
      <c r="E179" s="254"/>
      <c r="F179" s="85" t="s">
        <v>133</v>
      </c>
      <c r="G179" s="86">
        <f>H179+I179+J179+K179+M179</f>
        <v>851660</v>
      </c>
      <c r="H179" s="86">
        <v>0</v>
      </c>
      <c r="I179" s="86">
        <f>20320+351340+480000</f>
        <v>851660</v>
      </c>
      <c r="J179" s="86">
        <v>0</v>
      </c>
      <c r="K179" s="86">
        <v>0</v>
      </c>
      <c r="L179" s="86">
        <v>0</v>
      </c>
      <c r="M179" s="86">
        <v>0</v>
      </c>
      <c r="N179" s="259"/>
      <c r="P179" s="32">
        <f>1759000+1400000+4507295+1195000</f>
        <v>8861295</v>
      </c>
      <c r="Q179" s="32">
        <f>P179-O179</f>
        <v>8861295</v>
      </c>
    </row>
    <row r="180" spans="1:17" s="31" customFormat="1" ht="21.75" customHeight="1" x14ac:dyDescent="0.3">
      <c r="A180" s="248"/>
      <c r="B180" s="251"/>
      <c r="C180" s="254"/>
      <c r="D180" s="282"/>
      <c r="E180" s="254"/>
      <c r="F180" s="85" t="s">
        <v>16</v>
      </c>
      <c r="G180" s="86">
        <f>H180+I180+J180+K180+M180</f>
        <v>405992.6</v>
      </c>
      <c r="H180" s="86">
        <v>0</v>
      </c>
      <c r="I180" s="86">
        <v>405992.6</v>
      </c>
      <c r="J180" s="86">
        <v>0</v>
      </c>
      <c r="K180" s="86">
        <v>0</v>
      </c>
      <c r="L180" s="86">
        <v>0</v>
      </c>
      <c r="M180" s="86">
        <v>0</v>
      </c>
      <c r="N180" s="259"/>
      <c r="Q180" s="32"/>
    </row>
    <row r="181" spans="1:17" s="31" customFormat="1" ht="21.75" customHeight="1" x14ac:dyDescent="0.3">
      <c r="A181" s="249"/>
      <c r="B181" s="252"/>
      <c r="C181" s="255"/>
      <c r="D181" s="283"/>
      <c r="E181" s="255"/>
      <c r="F181" s="85" t="s">
        <v>17</v>
      </c>
      <c r="G181" s="86">
        <f>H181+I181+J181+K181+M181</f>
        <v>19893637.399999999</v>
      </c>
      <c r="H181" s="86">
        <v>0</v>
      </c>
      <c r="I181" s="86">
        <v>19893637.399999999</v>
      </c>
      <c r="J181" s="86">
        <v>0</v>
      </c>
      <c r="K181" s="86">
        <v>0</v>
      </c>
      <c r="L181" s="86">
        <v>0</v>
      </c>
      <c r="M181" s="86">
        <v>0</v>
      </c>
      <c r="N181" s="259"/>
      <c r="O181" s="32"/>
    </row>
    <row r="182" spans="1:17" ht="21.75" customHeight="1" x14ac:dyDescent="0.25">
      <c r="A182" s="247" t="s">
        <v>81</v>
      </c>
      <c r="B182" s="250" t="s">
        <v>58</v>
      </c>
      <c r="C182" s="253" t="s">
        <v>11</v>
      </c>
      <c r="D182" s="262" t="s">
        <v>37</v>
      </c>
      <c r="E182" s="253" t="s">
        <v>153</v>
      </c>
      <c r="F182" s="85" t="s">
        <v>14</v>
      </c>
      <c r="G182" s="86">
        <f t="shared" ref="G182:M182" si="54">G183+G184+G185</f>
        <v>58058</v>
      </c>
      <c r="H182" s="86">
        <f t="shared" si="54"/>
        <v>58058</v>
      </c>
      <c r="I182" s="86">
        <f t="shared" si="54"/>
        <v>0</v>
      </c>
      <c r="J182" s="86">
        <f t="shared" si="54"/>
        <v>0</v>
      </c>
      <c r="K182" s="86">
        <f t="shared" si="54"/>
        <v>0</v>
      </c>
      <c r="L182" s="86">
        <f t="shared" si="54"/>
        <v>0</v>
      </c>
      <c r="M182" s="86">
        <f t="shared" si="54"/>
        <v>0</v>
      </c>
      <c r="N182" s="259"/>
    </row>
    <row r="183" spans="1:17" ht="21.75" customHeight="1" x14ac:dyDescent="0.25">
      <c r="A183" s="248"/>
      <c r="B183" s="251"/>
      <c r="C183" s="254"/>
      <c r="D183" s="263"/>
      <c r="E183" s="254"/>
      <c r="F183" s="85" t="s">
        <v>133</v>
      </c>
      <c r="G183" s="86">
        <f>H183+I183+J183+K183+M183</f>
        <v>58058</v>
      </c>
      <c r="H183" s="86">
        <v>58058</v>
      </c>
      <c r="I183" s="86">
        <v>0</v>
      </c>
      <c r="J183" s="86">
        <v>0</v>
      </c>
      <c r="K183" s="86">
        <v>0</v>
      </c>
      <c r="L183" s="86">
        <v>0</v>
      </c>
      <c r="M183" s="86">
        <v>0</v>
      </c>
      <c r="N183" s="259"/>
    </row>
    <row r="184" spans="1:17" ht="21.75" customHeight="1" x14ac:dyDescent="0.25">
      <c r="A184" s="248"/>
      <c r="B184" s="251"/>
      <c r="C184" s="254"/>
      <c r="D184" s="263"/>
      <c r="E184" s="254"/>
      <c r="F184" s="85" t="s">
        <v>16</v>
      </c>
      <c r="G184" s="86">
        <f>H184+I184+J184+K184+M184</f>
        <v>0</v>
      </c>
      <c r="H184" s="86">
        <v>0</v>
      </c>
      <c r="I184" s="86">
        <v>0</v>
      </c>
      <c r="J184" s="86">
        <v>0</v>
      </c>
      <c r="K184" s="86">
        <v>0</v>
      </c>
      <c r="L184" s="86">
        <v>0</v>
      </c>
      <c r="M184" s="86">
        <v>0</v>
      </c>
      <c r="N184" s="259"/>
    </row>
    <row r="185" spans="1:17" ht="21.75" customHeight="1" x14ac:dyDescent="0.25">
      <c r="A185" s="249"/>
      <c r="B185" s="252"/>
      <c r="C185" s="254"/>
      <c r="D185" s="264"/>
      <c r="E185" s="255"/>
      <c r="F185" s="85" t="s">
        <v>17</v>
      </c>
      <c r="G185" s="86">
        <f>H185+I185+J185+K185+M185</f>
        <v>0</v>
      </c>
      <c r="H185" s="86">
        <v>0</v>
      </c>
      <c r="I185" s="86">
        <v>0</v>
      </c>
      <c r="J185" s="86">
        <v>0</v>
      </c>
      <c r="K185" s="86">
        <v>0</v>
      </c>
      <c r="L185" s="86">
        <v>0</v>
      </c>
      <c r="M185" s="86">
        <v>0</v>
      </c>
      <c r="N185" s="259"/>
    </row>
    <row r="186" spans="1:17" ht="21.75" customHeight="1" x14ac:dyDescent="0.25">
      <c r="A186" s="247" t="s">
        <v>83</v>
      </c>
      <c r="B186" s="250" t="s">
        <v>63</v>
      </c>
      <c r="C186" s="253" t="s">
        <v>11</v>
      </c>
      <c r="D186" s="262" t="s">
        <v>37</v>
      </c>
      <c r="E186" s="253" t="s">
        <v>153</v>
      </c>
      <c r="F186" s="85" t="s">
        <v>14</v>
      </c>
      <c r="G186" s="86">
        <f t="shared" ref="G186:M186" si="55">G187+G188+G189</f>
        <v>676415</v>
      </c>
      <c r="H186" s="86">
        <f t="shared" si="55"/>
        <v>0</v>
      </c>
      <c r="I186" s="86">
        <f t="shared" si="55"/>
        <v>676415</v>
      </c>
      <c r="J186" s="86">
        <f t="shared" si="55"/>
        <v>0</v>
      </c>
      <c r="K186" s="86">
        <f t="shared" si="55"/>
        <v>0</v>
      </c>
      <c r="L186" s="86">
        <f t="shared" si="55"/>
        <v>0</v>
      </c>
      <c r="M186" s="86">
        <f t="shared" si="55"/>
        <v>0</v>
      </c>
      <c r="N186" s="259"/>
    </row>
    <row r="187" spans="1:17" ht="21.75" customHeight="1" x14ac:dyDescent="0.25">
      <c r="A187" s="248"/>
      <c r="B187" s="251"/>
      <c r="C187" s="254"/>
      <c r="D187" s="263"/>
      <c r="E187" s="254"/>
      <c r="F187" s="85" t="s">
        <v>133</v>
      </c>
      <c r="G187" s="86">
        <f>H187+I187+J187+K187+M187</f>
        <v>676415</v>
      </c>
      <c r="H187" s="86">
        <v>0</v>
      </c>
      <c r="I187" s="86">
        <v>676415</v>
      </c>
      <c r="J187" s="86">
        <v>0</v>
      </c>
      <c r="K187" s="86">
        <v>0</v>
      </c>
      <c r="L187" s="86">
        <v>0</v>
      </c>
      <c r="M187" s="86">
        <v>0</v>
      </c>
      <c r="N187" s="259"/>
    </row>
    <row r="188" spans="1:17" ht="21.75" customHeight="1" x14ac:dyDescent="0.25">
      <c r="A188" s="248"/>
      <c r="B188" s="251"/>
      <c r="C188" s="254"/>
      <c r="D188" s="263"/>
      <c r="E188" s="254"/>
      <c r="F188" s="85" t="s">
        <v>16</v>
      </c>
      <c r="G188" s="86">
        <f>H188+I188+J188+K188+M188</f>
        <v>0</v>
      </c>
      <c r="H188" s="86">
        <v>0</v>
      </c>
      <c r="I188" s="86">
        <v>0</v>
      </c>
      <c r="J188" s="86">
        <v>0</v>
      </c>
      <c r="K188" s="86">
        <v>0</v>
      </c>
      <c r="L188" s="86">
        <v>0</v>
      </c>
      <c r="M188" s="86">
        <v>0</v>
      </c>
      <c r="N188" s="259"/>
    </row>
    <row r="189" spans="1:17" ht="21.75" customHeight="1" x14ac:dyDescent="0.25">
      <c r="A189" s="249"/>
      <c r="B189" s="252"/>
      <c r="C189" s="254"/>
      <c r="D189" s="264"/>
      <c r="E189" s="255"/>
      <c r="F189" s="85" t="s">
        <v>17</v>
      </c>
      <c r="G189" s="86">
        <f>H189+I189+J189+K189+M189</f>
        <v>0</v>
      </c>
      <c r="H189" s="86">
        <v>0</v>
      </c>
      <c r="I189" s="86">
        <v>0</v>
      </c>
      <c r="J189" s="86">
        <v>0</v>
      </c>
      <c r="K189" s="86">
        <v>0</v>
      </c>
      <c r="L189" s="86">
        <v>0</v>
      </c>
      <c r="M189" s="86">
        <v>0</v>
      </c>
      <c r="N189" s="259"/>
    </row>
    <row r="190" spans="1:17" ht="21.75" customHeight="1" x14ac:dyDescent="0.25">
      <c r="A190" s="247" t="s">
        <v>120</v>
      </c>
      <c r="B190" s="250" t="s">
        <v>71</v>
      </c>
      <c r="C190" s="253" t="s">
        <v>11</v>
      </c>
      <c r="D190" s="268" t="s">
        <v>149</v>
      </c>
      <c r="E190" s="253" t="s">
        <v>153</v>
      </c>
      <c r="F190" s="85" t="s">
        <v>14</v>
      </c>
      <c r="G190" s="86">
        <f>G191+G192+G193</f>
        <v>227000</v>
      </c>
      <c r="H190" s="86">
        <v>0</v>
      </c>
      <c r="I190" s="86">
        <f>I191+I192+I193</f>
        <v>0</v>
      </c>
      <c r="J190" s="86">
        <f>J191+J192+J193</f>
        <v>0</v>
      </c>
      <c r="K190" s="86">
        <v>0</v>
      </c>
      <c r="L190" s="86">
        <f>L191+L192+L193</f>
        <v>0</v>
      </c>
      <c r="M190" s="86">
        <f>M191+M192+M193</f>
        <v>0</v>
      </c>
      <c r="N190" s="259"/>
    </row>
    <row r="191" spans="1:17" ht="21.75" customHeight="1" x14ac:dyDescent="0.25">
      <c r="A191" s="248"/>
      <c r="B191" s="251"/>
      <c r="C191" s="254"/>
      <c r="D191" s="269"/>
      <c r="E191" s="254"/>
      <c r="F191" s="85" t="s">
        <v>133</v>
      </c>
      <c r="G191" s="86">
        <f>H191+I191+J191+K191+M191</f>
        <v>227000</v>
      </c>
      <c r="H191" s="86">
        <v>227000</v>
      </c>
      <c r="I191" s="86">
        <v>0</v>
      </c>
      <c r="J191" s="86">
        <v>0</v>
      </c>
      <c r="K191" s="86">
        <v>0</v>
      </c>
      <c r="L191" s="86">
        <v>0</v>
      </c>
      <c r="M191" s="86">
        <v>0</v>
      </c>
      <c r="N191" s="259"/>
    </row>
    <row r="192" spans="1:17" ht="21.75" customHeight="1" x14ac:dyDescent="0.25">
      <c r="A192" s="248"/>
      <c r="B192" s="251"/>
      <c r="C192" s="254"/>
      <c r="D192" s="269"/>
      <c r="E192" s="254"/>
      <c r="F192" s="85" t="s">
        <v>16</v>
      </c>
      <c r="G192" s="86">
        <f>H192+I192+J192+K192+M192</f>
        <v>0</v>
      </c>
      <c r="H192" s="86">
        <v>0</v>
      </c>
      <c r="I192" s="86">
        <v>0</v>
      </c>
      <c r="J192" s="86">
        <v>0</v>
      </c>
      <c r="K192" s="86">
        <v>0</v>
      </c>
      <c r="L192" s="86">
        <v>0</v>
      </c>
      <c r="M192" s="86">
        <v>0</v>
      </c>
      <c r="N192" s="259"/>
    </row>
    <row r="193" spans="1:23" ht="21.75" customHeight="1" x14ac:dyDescent="0.25">
      <c r="A193" s="249"/>
      <c r="B193" s="252"/>
      <c r="C193" s="254"/>
      <c r="D193" s="270"/>
      <c r="E193" s="255"/>
      <c r="F193" s="85" t="s">
        <v>17</v>
      </c>
      <c r="G193" s="86">
        <f>H193+I193+J193+K193+M193</f>
        <v>0</v>
      </c>
      <c r="H193" s="86">
        <v>0</v>
      </c>
      <c r="I193" s="86">
        <v>0</v>
      </c>
      <c r="J193" s="86">
        <v>0</v>
      </c>
      <c r="K193" s="86">
        <v>0</v>
      </c>
      <c r="L193" s="86">
        <v>0</v>
      </c>
      <c r="M193" s="86">
        <v>0</v>
      </c>
      <c r="N193" s="259"/>
    </row>
    <row r="194" spans="1:23" ht="21.75" customHeight="1" x14ac:dyDescent="0.25">
      <c r="A194" s="247" t="s">
        <v>86</v>
      </c>
      <c r="B194" s="250" t="s">
        <v>82</v>
      </c>
      <c r="C194" s="253" t="s">
        <v>11</v>
      </c>
      <c r="D194" s="268" t="s">
        <v>42</v>
      </c>
      <c r="E194" s="253" t="s">
        <v>153</v>
      </c>
      <c r="F194" s="85" t="s">
        <v>14</v>
      </c>
      <c r="G194" s="86">
        <f t="shared" ref="G194:M194" si="56">G195+G196+G197</f>
        <v>4525000</v>
      </c>
      <c r="H194" s="86">
        <f t="shared" si="56"/>
        <v>2525000</v>
      </c>
      <c r="I194" s="86">
        <f t="shared" si="56"/>
        <v>2000000</v>
      </c>
      <c r="J194" s="86">
        <f t="shared" si="56"/>
        <v>0</v>
      </c>
      <c r="K194" s="86">
        <f t="shared" si="56"/>
        <v>0</v>
      </c>
      <c r="L194" s="86">
        <f>L195+L196+L197</f>
        <v>0</v>
      </c>
      <c r="M194" s="86">
        <f t="shared" si="56"/>
        <v>0</v>
      </c>
      <c r="N194" s="259"/>
      <c r="O194" s="61"/>
      <c r="W194" s="61" t="e">
        <f>#REF!+#REF!+#REF!+#REF!</f>
        <v>#REF!</v>
      </c>
    </row>
    <row r="195" spans="1:23" ht="21.75" customHeight="1" x14ac:dyDescent="0.25">
      <c r="A195" s="248"/>
      <c r="B195" s="251"/>
      <c r="C195" s="254"/>
      <c r="D195" s="269"/>
      <c r="E195" s="254"/>
      <c r="F195" s="85" t="s">
        <v>133</v>
      </c>
      <c r="G195" s="86">
        <f>H195+I195+J195+K195+M195</f>
        <v>2052500</v>
      </c>
      <c r="H195" s="86">
        <f>1000000+47250+5250</f>
        <v>1052500</v>
      </c>
      <c r="I195" s="86">
        <v>1000000</v>
      </c>
      <c r="J195" s="86">
        <v>0</v>
      </c>
      <c r="K195" s="86">
        <v>0</v>
      </c>
      <c r="L195" s="86">
        <v>0</v>
      </c>
      <c r="M195" s="86">
        <v>0</v>
      </c>
      <c r="N195" s="259"/>
    </row>
    <row r="196" spans="1:23" ht="21.75" customHeight="1" x14ac:dyDescent="0.25">
      <c r="A196" s="248"/>
      <c r="B196" s="251"/>
      <c r="C196" s="254"/>
      <c r="D196" s="269"/>
      <c r="E196" s="254"/>
      <c r="F196" s="85" t="s">
        <v>16</v>
      </c>
      <c r="G196" s="86">
        <f>H196+I196+J196+K196+M196</f>
        <v>2472500</v>
      </c>
      <c r="H196" s="86">
        <f>1000000+472500</f>
        <v>1472500</v>
      </c>
      <c r="I196" s="86">
        <v>1000000</v>
      </c>
      <c r="J196" s="86">
        <v>0</v>
      </c>
      <c r="K196" s="86">
        <v>0</v>
      </c>
      <c r="L196" s="86">
        <v>0</v>
      </c>
      <c r="M196" s="86">
        <v>0</v>
      </c>
      <c r="N196" s="259"/>
    </row>
    <row r="197" spans="1:23" ht="21.75" customHeight="1" x14ac:dyDescent="0.25">
      <c r="A197" s="249"/>
      <c r="B197" s="252"/>
      <c r="C197" s="255"/>
      <c r="D197" s="270"/>
      <c r="E197" s="255"/>
      <c r="F197" s="85" t="s">
        <v>17</v>
      </c>
      <c r="G197" s="86">
        <f>H197+I197+J197+K197+M197</f>
        <v>0</v>
      </c>
      <c r="H197" s="86">
        <v>0</v>
      </c>
      <c r="I197" s="86">
        <v>0</v>
      </c>
      <c r="J197" s="86">
        <v>0</v>
      </c>
      <c r="K197" s="86">
        <v>0</v>
      </c>
      <c r="L197" s="86">
        <v>0</v>
      </c>
      <c r="M197" s="86">
        <v>0</v>
      </c>
      <c r="N197" s="259"/>
    </row>
    <row r="198" spans="1:23" s="93" customFormat="1" ht="21.75" customHeight="1" x14ac:dyDescent="0.25">
      <c r="A198" s="247" t="s">
        <v>121</v>
      </c>
      <c r="B198" s="250" t="s">
        <v>92</v>
      </c>
      <c r="C198" s="253" t="s">
        <v>11</v>
      </c>
      <c r="D198" s="268" t="s">
        <v>42</v>
      </c>
      <c r="E198" s="253" t="s">
        <v>153</v>
      </c>
      <c r="F198" s="85" t="s">
        <v>14</v>
      </c>
      <c r="G198" s="86">
        <f t="shared" ref="G198:M198" si="57">G199+G200+G201</f>
        <v>10636538.800000001</v>
      </c>
      <c r="H198" s="86">
        <f t="shared" si="57"/>
        <v>1316716</v>
      </c>
      <c r="I198" s="86">
        <f t="shared" si="57"/>
        <v>0</v>
      </c>
      <c r="J198" s="86">
        <f t="shared" si="57"/>
        <v>2487958.7999999998</v>
      </c>
      <c r="K198" s="86">
        <f t="shared" si="57"/>
        <v>6831864</v>
      </c>
      <c r="L198" s="86">
        <f t="shared" si="57"/>
        <v>0</v>
      </c>
      <c r="M198" s="86">
        <f t="shared" si="57"/>
        <v>0</v>
      </c>
      <c r="N198" s="259"/>
    </row>
    <row r="199" spans="1:23" s="93" customFormat="1" ht="21.75" customHeight="1" x14ac:dyDescent="0.25">
      <c r="A199" s="248"/>
      <c r="B199" s="251"/>
      <c r="C199" s="254"/>
      <c r="D199" s="269"/>
      <c r="E199" s="254"/>
      <c r="F199" s="85" t="s">
        <v>133</v>
      </c>
      <c r="G199" s="86">
        <f>H199+I199+J199+K199+M199</f>
        <v>4188101</v>
      </c>
      <c r="H199" s="86">
        <f>368777+87460</f>
        <v>456237</v>
      </c>
      <c r="I199" s="86">
        <v>0</v>
      </c>
      <c r="J199" s="86">
        <f>+'[7]остатки средств в ФК_2'!$R$52</f>
        <v>750000</v>
      </c>
      <c r="K199" s="86">
        <v>2981864</v>
      </c>
      <c r="L199" s="86">
        <v>0</v>
      </c>
      <c r="M199" s="86">
        <v>0</v>
      </c>
      <c r="N199" s="259"/>
    </row>
    <row r="200" spans="1:23" s="93" customFormat="1" ht="21.75" customHeight="1" x14ac:dyDescent="0.25">
      <c r="A200" s="248"/>
      <c r="B200" s="251"/>
      <c r="C200" s="254"/>
      <c r="D200" s="269"/>
      <c r="E200" s="254"/>
      <c r="F200" s="85" t="s">
        <v>16</v>
      </c>
      <c r="G200" s="86">
        <f>H200+I200+J200+K200+M200</f>
        <v>6448437.7999999998</v>
      </c>
      <c r="H200" s="86">
        <v>860479</v>
      </c>
      <c r="I200" s="86">
        <v>0</v>
      </c>
      <c r="J200" s="86">
        <f>'[8]остатки средств в ФК_2'!$Y$46</f>
        <v>1737958.8</v>
      </c>
      <c r="K200" s="86">
        <v>3850000</v>
      </c>
      <c r="L200" s="86">
        <v>0</v>
      </c>
      <c r="M200" s="86">
        <v>0</v>
      </c>
      <c r="N200" s="259"/>
    </row>
    <row r="201" spans="1:23" s="93" customFormat="1" ht="21.75" customHeight="1" x14ac:dyDescent="0.25">
      <c r="A201" s="249"/>
      <c r="B201" s="252"/>
      <c r="C201" s="255"/>
      <c r="D201" s="270"/>
      <c r="E201" s="255"/>
      <c r="F201" s="85" t="s">
        <v>17</v>
      </c>
      <c r="G201" s="86">
        <f>H201+I201+J201+K201+M201</f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259"/>
    </row>
    <row r="202" spans="1:23" ht="21.75" customHeight="1" x14ac:dyDescent="0.25">
      <c r="A202" s="247" t="s">
        <v>89</v>
      </c>
      <c r="B202" s="250" t="s">
        <v>90</v>
      </c>
      <c r="C202" s="253" t="s">
        <v>11</v>
      </c>
      <c r="D202" s="268" t="s">
        <v>42</v>
      </c>
      <c r="E202" s="253" t="s">
        <v>153</v>
      </c>
      <c r="F202" s="85" t="s">
        <v>14</v>
      </c>
      <c r="G202" s="86">
        <f t="shared" ref="G202:M202" si="58">G203+G204+G205</f>
        <v>0</v>
      </c>
      <c r="H202" s="86">
        <f t="shared" si="58"/>
        <v>0</v>
      </c>
      <c r="I202" s="86">
        <f t="shared" si="58"/>
        <v>0</v>
      </c>
      <c r="J202" s="86">
        <f t="shared" si="58"/>
        <v>0</v>
      </c>
      <c r="K202" s="86">
        <f t="shared" si="58"/>
        <v>0</v>
      </c>
      <c r="L202" s="86">
        <f t="shared" si="58"/>
        <v>0</v>
      </c>
      <c r="M202" s="86">
        <f t="shared" si="58"/>
        <v>0</v>
      </c>
      <c r="N202" s="259"/>
    </row>
    <row r="203" spans="1:23" ht="21.75" customHeight="1" x14ac:dyDescent="0.25">
      <c r="A203" s="248"/>
      <c r="B203" s="251"/>
      <c r="C203" s="254"/>
      <c r="D203" s="269"/>
      <c r="E203" s="254"/>
      <c r="F203" s="85" t="s">
        <v>15</v>
      </c>
      <c r="G203" s="86">
        <f>H203+I203+J203+K203+M203</f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0</v>
      </c>
      <c r="M203" s="86">
        <v>0</v>
      </c>
      <c r="N203" s="259"/>
    </row>
    <row r="204" spans="1:23" ht="21.75" customHeight="1" x14ac:dyDescent="0.25">
      <c r="A204" s="248"/>
      <c r="B204" s="251"/>
      <c r="C204" s="254"/>
      <c r="D204" s="269"/>
      <c r="E204" s="254"/>
      <c r="F204" s="85" t="s">
        <v>16</v>
      </c>
      <c r="G204" s="86">
        <f>H204+I204+J204+K204+M204</f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</v>
      </c>
      <c r="M204" s="86">
        <v>0</v>
      </c>
      <c r="N204" s="259"/>
    </row>
    <row r="205" spans="1:23" ht="21.75" customHeight="1" x14ac:dyDescent="0.25">
      <c r="A205" s="249"/>
      <c r="B205" s="252"/>
      <c r="C205" s="255"/>
      <c r="D205" s="270"/>
      <c r="E205" s="255"/>
      <c r="F205" s="85" t="s">
        <v>17</v>
      </c>
      <c r="G205" s="86">
        <f>H205+I205+J205+K205+M205</f>
        <v>0</v>
      </c>
      <c r="H205" s="86">
        <v>0</v>
      </c>
      <c r="I205" s="86">
        <v>0</v>
      </c>
      <c r="J205" s="86">
        <v>0</v>
      </c>
      <c r="K205" s="86">
        <v>0</v>
      </c>
      <c r="L205" s="86">
        <v>0</v>
      </c>
      <c r="M205" s="86">
        <v>0</v>
      </c>
      <c r="N205" s="259"/>
    </row>
    <row r="206" spans="1:23" ht="21.75" customHeight="1" x14ac:dyDescent="0.25">
      <c r="A206" s="247" t="s">
        <v>94</v>
      </c>
      <c r="B206" s="250" t="s">
        <v>84</v>
      </c>
      <c r="C206" s="253" t="s">
        <v>11</v>
      </c>
      <c r="D206" s="268" t="s">
        <v>12</v>
      </c>
      <c r="E206" s="253" t="s">
        <v>153</v>
      </c>
      <c r="F206" s="85" t="s">
        <v>14</v>
      </c>
      <c r="G206" s="86">
        <f t="shared" ref="G206:M206" si="59">G207+G208+G209</f>
        <v>12787862.84</v>
      </c>
      <c r="H206" s="86">
        <f t="shared" si="59"/>
        <v>3038075</v>
      </c>
      <c r="I206" s="86">
        <f t="shared" si="59"/>
        <v>2233000</v>
      </c>
      <c r="J206" s="86">
        <f t="shared" si="59"/>
        <v>2146368.09</v>
      </c>
      <c r="K206" s="86">
        <f t="shared" si="59"/>
        <v>2643096.14</v>
      </c>
      <c r="L206" s="86">
        <f>L207+L208+L209</f>
        <v>2622773.86</v>
      </c>
      <c r="M206" s="86">
        <f t="shared" si="59"/>
        <v>2727323.61</v>
      </c>
      <c r="N206" s="259"/>
    </row>
    <row r="207" spans="1:23" ht="21.75" customHeight="1" x14ac:dyDescent="0.25">
      <c r="A207" s="248"/>
      <c r="B207" s="251"/>
      <c r="C207" s="254"/>
      <c r="D207" s="269"/>
      <c r="E207" s="254"/>
      <c r="F207" s="85" t="s">
        <v>133</v>
      </c>
      <c r="G207" s="86">
        <f t="shared" ref="G207:G217" si="60">H207+I207+J207+K207+M207</f>
        <v>12159391.84</v>
      </c>
      <c r="H207" s="86">
        <f>3200000-300000-62034+62034</f>
        <v>2900000</v>
      </c>
      <c r="I207" s="86">
        <f>1933000+300000</f>
        <v>2233000</v>
      </c>
      <c r="J207" s="86">
        <v>2146368.09</v>
      </c>
      <c r="K207" s="86">
        <v>2152700.14</v>
      </c>
      <c r="L207" s="86">
        <v>2622773.86</v>
      </c>
      <c r="M207" s="86">
        <v>2727323.61</v>
      </c>
      <c r="N207" s="259"/>
    </row>
    <row r="208" spans="1:23" ht="21.75" customHeight="1" x14ac:dyDescent="0.25">
      <c r="A208" s="248"/>
      <c r="B208" s="251"/>
      <c r="C208" s="254"/>
      <c r="D208" s="269"/>
      <c r="E208" s="254"/>
      <c r="F208" s="85" t="s">
        <v>16</v>
      </c>
      <c r="G208" s="86">
        <f t="shared" si="60"/>
        <v>628471</v>
      </c>
      <c r="H208" s="86">
        <v>138075</v>
      </c>
      <c r="I208" s="86">
        <v>0</v>
      </c>
      <c r="J208" s="86">
        <v>0</v>
      </c>
      <c r="K208" s="86">
        <v>490396</v>
      </c>
      <c r="L208" s="86">
        <v>0</v>
      </c>
      <c r="M208" s="86">
        <v>0</v>
      </c>
      <c r="N208" s="259"/>
      <c r="P208" s="61"/>
    </row>
    <row r="209" spans="1:16" ht="21.75" customHeight="1" x14ac:dyDescent="0.25">
      <c r="A209" s="249"/>
      <c r="B209" s="252"/>
      <c r="C209" s="255"/>
      <c r="D209" s="270"/>
      <c r="E209" s="255"/>
      <c r="F209" s="85" t="s">
        <v>17</v>
      </c>
      <c r="G209" s="86">
        <f t="shared" si="60"/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  <c r="M209" s="86">
        <v>0</v>
      </c>
      <c r="N209" s="259"/>
      <c r="P209" s="61"/>
    </row>
    <row r="210" spans="1:16" ht="21.75" customHeight="1" x14ac:dyDescent="0.25">
      <c r="A210" s="280" t="s">
        <v>102</v>
      </c>
      <c r="B210" s="250" t="s">
        <v>87</v>
      </c>
      <c r="C210" s="253" t="s">
        <v>11</v>
      </c>
      <c r="D210" s="268" t="s">
        <v>42</v>
      </c>
      <c r="E210" s="253" t="s">
        <v>153</v>
      </c>
      <c r="F210" s="85" t="s">
        <v>14</v>
      </c>
      <c r="G210" s="86">
        <f t="shared" ref="G210:M210" si="61">G211+G212+G213</f>
        <v>7405000</v>
      </c>
      <c r="H210" s="86">
        <f t="shared" si="61"/>
        <v>525000</v>
      </c>
      <c r="I210" s="86">
        <f t="shared" si="61"/>
        <v>0</v>
      </c>
      <c r="J210" s="86">
        <f t="shared" si="61"/>
        <v>610000</v>
      </c>
      <c r="K210" s="86">
        <f t="shared" si="61"/>
        <v>4170000</v>
      </c>
      <c r="L210" s="86">
        <f>L211+L212+L213</f>
        <v>2100000</v>
      </c>
      <c r="M210" s="86">
        <f t="shared" si="61"/>
        <v>2100000</v>
      </c>
      <c r="N210" s="259"/>
    </row>
    <row r="211" spans="1:16" ht="21.75" customHeight="1" x14ac:dyDescent="0.25">
      <c r="A211" s="248"/>
      <c r="B211" s="251"/>
      <c r="C211" s="254"/>
      <c r="D211" s="269"/>
      <c r="E211" s="254"/>
      <c r="F211" s="85" t="s">
        <v>133</v>
      </c>
      <c r="G211" s="86">
        <f t="shared" si="60"/>
        <v>5085000</v>
      </c>
      <c r="H211" s="86">
        <f>700000+300000-475000</f>
        <v>525000</v>
      </c>
      <c r="I211" s="86">
        <v>0</v>
      </c>
      <c r="J211" s="86">
        <f>500000+600000-140000-600000</f>
        <v>360000</v>
      </c>
      <c r="K211" s="86">
        <v>2100000</v>
      </c>
      <c r="L211" s="86">
        <v>2100000</v>
      </c>
      <c r="M211" s="86">
        <v>2100000</v>
      </c>
      <c r="N211" s="259"/>
      <c r="P211" s="59">
        <v>854209197.39999998</v>
      </c>
    </row>
    <row r="212" spans="1:16" ht="21.75" customHeight="1" x14ac:dyDescent="0.25">
      <c r="A212" s="248"/>
      <c r="B212" s="251"/>
      <c r="C212" s="254"/>
      <c r="D212" s="269"/>
      <c r="E212" s="254"/>
      <c r="F212" s="85" t="s">
        <v>16</v>
      </c>
      <c r="G212" s="86">
        <f t="shared" si="60"/>
        <v>2320000</v>
      </c>
      <c r="H212" s="86">
        <v>0</v>
      </c>
      <c r="I212" s="86">
        <v>0</v>
      </c>
      <c r="J212" s="86">
        <v>250000</v>
      </c>
      <c r="K212" s="86">
        <v>2070000</v>
      </c>
      <c r="L212" s="86">
        <v>0</v>
      </c>
      <c r="M212" s="86">
        <v>0</v>
      </c>
      <c r="N212" s="259"/>
      <c r="P212" s="59">
        <v>852492090</v>
      </c>
    </row>
    <row r="213" spans="1:16" ht="21.75" customHeight="1" x14ac:dyDescent="0.25">
      <c r="A213" s="249"/>
      <c r="B213" s="252"/>
      <c r="C213" s="255"/>
      <c r="D213" s="270"/>
      <c r="E213" s="255"/>
      <c r="F213" s="85" t="s">
        <v>17</v>
      </c>
      <c r="G213" s="86">
        <f t="shared" si="60"/>
        <v>0</v>
      </c>
      <c r="H213" s="86">
        <v>0</v>
      </c>
      <c r="I213" s="86">
        <v>0</v>
      </c>
      <c r="J213" s="86">
        <v>0</v>
      </c>
      <c r="K213" s="86">
        <v>0</v>
      </c>
      <c r="L213" s="86">
        <v>0</v>
      </c>
      <c r="M213" s="86">
        <v>0</v>
      </c>
      <c r="N213" s="259"/>
      <c r="P213" s="59">
        <f>P211-P212</f>
        <v>1717107.3999999762</v>
      </c>
    </row>
    <row r="214" spans="1:16" ht="21.75" hidden="1" customHeight="1" outlineLevel="1" x14ac:dyDescent="0.25">
      <c r="A214" s="106"/>
      <c r="B214" s="250" t="s">
        <v>88</v>
      </c>
      <c r="C214" s="253" t="s">
        <v>11</v>
      </c>
      <c r="D214" s="253"/>
      <c r="E214" s="253" t="s">
        <v>153</v>
      </c>
      <c r="F214" s="85" t="s">
        <v>14</v>
      </c>
      <c r="G214" s="86">
        <f t="shared" ref="G214:M214" si="62">G215+G216+G217</f>
        <v>0</v>
      </c>
      <c r="H214" s="86">
        <f t="shared" si="62"/>
        <v>0</v>
      </c>
      <c r="I214" s="86">
        <f t="shared" si="62"/>
        <v>0</v>
      </c>
      <c r="J214" s="86">
        <f t="shared" si="62"/>
        <v>0</v>
      </c>
      <c r="K214" s="86">
        <f t="shared" si="62"/>
        <v>0</v>
      </c>
      <c r="L214" s="86">
        <f>L215+L216+L217</f>
        <v>0</v>
      </c>
      <c r="M214" s="86">
        <f t="shared" si="62"/>
        <v>0</v>
      </c>
      <c r="N214" s="259"/>
    </row>
    <row r="215" spans="1:16" ht="21.75" hidden="1" customHeight="1" outlineLevel="1" x14ac:dyDescent="0.25">
      <c r="A215" s="107" t="s">
        <v>89</v>
      </c>
      <c r="B215" s="251"/>
      <c r="C215" s="254"/>
      <c r="D215" s="254"/>
      <c r="E215" s="254"/>
      <c r="F215" s="85" t="s">
        <v>15</v>
      </c>
      <c r="G215" s="86">
        <f t="shared" si="60"/>
        <v>0</v>
      </c>
      <c r="H215" s="86">
        <v>0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259"/>
    </row>
    <row r="216" spans="1:16" ht="21.75" hidden="1" customHeight="1" outlineLevel="1" x14ac:dyDescent="0.25">
      <c r="A216" s="106"/>
      <c r="B216" s="251"/>
      <c r="C216" s="254"/>
      <c r="D216" s="254"/>
      <c r="E216" s="254"/>
      <c r="F216" s="85" t="s">
        <v>16</v>
      </c>
      <c r="G216" s="86">
        <f t="shared" si="60"/>
        <v>0</v>
      </c>
      <c r="H216" s="86">
        <v>0</v>
      </c>
      <c r="I216" s="86">
        <v>0</v>
      </c>
      <c r="J216" s="86">
        <v>0</v>
      </c>
      <c r="K216" s="86">
        <v>0</v>
      </c>
      <c r="L216" s="86">
        <v>0</v>
      </c>
      <c r="M216" s="86">
        <v>0</v>
      </c>
      <c r="N216" s="259"/>
    </row>
    <row r="217" spans="1:16" ht="21.75" hidden="1" customHeight="1" outlineLevel="1" x14ac:dyDescent="0.25">
      <c r="A217" s="106"/>
      <c r="B217" s="252"/>
      <c r="C217" s="255"/>
      <c r="D217" s="255"/>
      <c r="E217" s="255"/>
      <c r="F217" s="85" t="s">
        <v>17</v>
      </c>
      <c r="G217" s="86">
        <f t="shared" si="60"/>
        <v>0</v>
      </c>
      <c r="H217" s="86">
        <v>0</v>
      </c>
      <c r="I217" s="86">
        <v>0</v>
      </c>
      <c r="J217" s="86">
        <v>0</v>
      </c>
      <c r="K217" s="86">
        <v>0</v>
      </c>
      <c r="L217" s="86">
        <v>0</v>
      </c>
      <c r="M217" s="86">
        <v>0</v>
      </c>
      <c r="N217" s="259"/>
    </row>
    <row r="218" spans="1:16" ht="21.75" hidden="1" customHeight="1" outlineLevel="1" x14ac:dyDescent="0.25">
      <c r="A218" s="247" t="s">
        <v>91</v>
      </c>
      <c r="B218" s="250" t="s">
        <v>90</v>
      </c>
      <c r="C218" s="253" t="s">
        <v>11</v>
      </c>
      <c r="D218" s="253"/>
      <c r="E218" s="253" t="s">
        <v>153</v>
      </c>
      <c r="F218" s="85" t="s">
        <v>14</v>
      </c>
      <c r="G218" s="86">
        <f t="shared" ref="G218:M218" si="63">G219+G220+G221</f>
        <v>0</v>
      </c>
      <c r="H218" s="86">
        <f t="shared" si="63"/>
        <v>0</v>
      </c>
      <c r="I218" s="86">
        <f t="shared" si="63"/>
        <v>0</v>
      </c>
      <c r="J218" s="86">
        <f t="shared" si="63"/>
        <v>0</v>
      </c>
      <c r="K218" s="86">
        <f t="shared" si="63"/>
        <v>0</v>
      </c>
      <c r="L218" s="86">
        <f>L219+L220+L221</f>
        <v>0</v>
      </c>
      <c r="M218" s="86">
        <f t="shared" si="63"/>
        <v>0</v>
      </c>
      <c r="N218" s="259"/>
    </row>
    <row r="219" spans="1:16" ht="21.75" hidden="1" customHeight="1" outlineLevel="1" x14ac:dyDescent="0.25">
      <c r="A219" s="248"/>
      <c r="B219" s="251"/>
      <c r="C219" s="254"/>
      <c r="D219" s="254"/>
      <c r="E219" s="254"/>
      <c r="F219" s="85" t="s">
        <v>15</v>
      </c>
      <c r="G219" s="86">
        <f>H219+I219+J219+K219+M219</f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  <c r="M219" s="86">
        <v>0</v>
      </c>
      <c r="N219" s="259"/>
    </row>
    <row r="220" spans="1:16" ht="21.75" hidden="1" customHeight="1" outlineLevel="1" x14ac:dyDescent="0.25">
      <c r="A220" s="248"/>
      <c r="B220" s="251"/>
      <c r="C220" s="254"/>
      <c r="D220" s="254"/>
      <c r="E220" s="254"/>
      <c r="F220" s="85" t="s">
        <v>16</v>
      </c>
      <c r="G220" s="86">
        <f>H220+I220+J220+K220+M220</f>
        <v>0</v>
      </c>
      <c r="H220" s="86">
        <v>0</v>
      </c>
      <c r="I220" s="86">
        <v>0</v>
      </c>
      <c r="J220" s="86">
        <v>0</v>
      </c>
      <c r="K220" s="86">
        <v>0</v>
      </c>
      <c r="L220" s="86">
        <v>0</v>
      </c>
      <c r="M220" s="86">
        <v>0</v>
      </c>
      <c r="N220" s="259"/>
    </row>
    <row r="221" spans="1:16" ht="21.75" hidden="1" customHeight="1" outlineLevel="1" x14ac:dyDescent="0.25">
      <c r="A221" s="249"/>
      <c r="B221" s="252"/>
      <c r="C221" s="255"/>
      <c r="D221" s="255"/>
      <c r="E221" s="255"/>
      <c r="F221" s="85" t="s">
        <v>17</v>
      </c>
      <c r="G221" s="86">
        <f>H221+I221+J221+K221+M221</f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  <c r="M221" s="86">
        <v>0</v>
      </c>
      <c r="N221" s="259"/>
    </row>
    <row r="222" spans="1:16" ht="21.75" hidden="1" customHeight="1" outlineLevel="1" x14ac:dyDescent="0.25">
      <c r="A222" s="106"/>
      <c r="B222" s="250" t="s">
        <v>85</v>
      </c>
      <c r="C222" s="253" t="s">
        <v>11</v>
      </c>
      <c r="D222" s="253"/>
      <c r="E222" s="253" t="s">
        <v>153</v>
      </c>
      <c r="F222" s="85" t="s">
        <v>14</v>
      </c>
      <c r="G222" s="86">
        <f t="shared" ref="G222:M222" si="64">G223+G224+G225</f>
        <v>0</v>
      </c>
      <c r="H222" s="86">
        <f t="shared" si="64"/>
        <v>0</v>
      </c>
      <c r="I222" s="86">
        <f t="shared" si="64"/>
        <v>0</v>
      </c>
      <c r="J222" s="86">
        <f t="shared" si="64"/>
        <v>0</v>
      </c>
      <c r="K222" s="86">
        <f t="shared" si="64"/>
        <v>0</v>
      </c>
      <c r="L222" s="86">
        <f>L223+L224+L225</f>
        <v>0</v>
      </c>
      <c r="M222" s="86">
        <f t="shared" si="64"/>
        <v>0</v>
      </c>
      <c r="N222" s="259"/>
      <c r="P222" s="61"/>
    </row>
    <row r="223" spans="1:16" ht="21.75" hidden="1" customHeight="1" outlineLevel="1" x14ac:dyDescent="0.25">
      <c r="A223" s="106"/>
      <c r="B223" s="251"/>
      <c r="C223" s="254"/>
      <c r="D223" s="254"/>
      <c r="E223" s="254"/>
      <c r="F223" s="85" t="s">
        <v>15</v>
      </c>
      <c r="G223" s="86">
        <f>H223+I223+J223+K223+M223</f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0</v>
      </c>
      <c r="M223" s="86">
        <v>0</v>
      </c>
      <c r="N223" s="259"/>
      <c r="P223" s="61"/>
    </row>
    <row r="224" spans="1:16" ht="21.75" hidden="1" customHeight="1" outlineLevel="1" x14ac:dyDescent="0.25">
      <c r="A224" s="107" t="s">
        <v>122</v>
      </c>
      <c r="B224" s="251"/>
      <c r="C224" s="254"/>
      <c r="D224" s="254"/>
      <c r="E224" s="254"/>
      <c r="F224" s="85" t="s">
        <v>16</v>
      </c>
      <c r="G224" s="86">
        <f>H224+I224+J224+K224+M224</f>
        <v>0</v>
      </c>
      <c r="H224" s="86">
        <v>0</v>
      </c>
      <c r="I224" s="86">
        <v>0</v>
      </c>
      <c r="J224" s="86">
        <v>0</v>
      </c>
      <c r="K224" s="86">
        <v>0</v>
      </c>
      <c r="L224" s="86">
        <v>0</v>
      </c>
      <c r="M224" s="86">
        <v>0</v>
      </c>
      <c r="N224" s="259"/>
      <c r="P224" s="61"/>
    </row>
    <row r="225" spans="1:16" ht="21.75" hidden="1" customHeight="1" outlineLevel="1" x14ac:dyDescent="0.25">
      <c r="A225" s="106"/>
      <c r="B225" s="252"/>
      <c r="C225" s="255"/>
      <c r="D225" s="255"/>
      <c r="E225" s="255"/>
      <c r="F225" s="85" t="s">
        <v>17</v>
      </c>
      <c r="G225" s="86">
        <f>H225+I225+J225+K225+M225</f>
        <v>0</v>
      </c>
      <c r="H225" s="86">
        <v>0</v>
      </c>
      <c r="I225" s="86">
        <v>0</v>
      </c>
      <c r="J225" s="86">
        <v>0</v>
      </c>
      <c r="K225" s="86">
        <v>0</v>
      </c>
      <c r="L225" s="86">
        <v>0</v>
      </c>
      <c r="M225" s="86">
        <v>0</v>
      </c>
      <c r="N225" s="284"/>
      <c r="P225" s="61"/>
    </row>
    <row r="226" spans="1:16" ht="21.75" customHeight="1" collapsed="1" x14ac:dyDescent="0.25">
      <c r="A226" s="238"/>
      <c r="B226" s="241" t="s">
        <v>141</v>
      </c>
      <c r="C226" s="244" t="s">
        <v>11</v>
      </c>
      <c r="D226" s="279" t="s">
        <v>93</v>
      </c>
      <c r="E226" s="244" t="s">
        <v>153</v>
      </c>
      <c r="F226" s="79" t="s">
        <v>14</v>
      </c>
      <c r="G226" s="80">
        <f t="shared" ref="G226:M226" si="65">G227+G228+G229</f>
        <v>22699651.289999999</v>
      </c>
      <c r="H226" s="80">
        <f t="shared" si="65"/>
        <v>1942784.25</v>
      </c>
      <c r="I226" s="80">
        <f t="shared" si="65"/>
        <v>4335490.6399999997</v>
      </c>
      <c r="J226" s="80">
        <f t="shared" si="65"/>
        <v>5072468.2399999993</v>
      </c>
      <c r="K226" s="80">
        <f t="shared" si="65"/>
        <v>5471604.9199999999</v>
      </c>
      <c r="L226" s="80">
        <f>L227+L228+L229</f>
        <v>5670475.4000000004</v>
      </c>
      <c r="M226" s="80">
        <f t="shared" si="65"/>
        <v>5877303.2400000002</v>
      </c>
      <c r="N226" s="274"/>
    </row>
    <row r="227" spans="1:16" ht="21.75" customHeight="1" x14ac:dyDescent="0.25">
      <c r="A227" s="239"/>
      <c r="B227" s="242"/>
      <c r="C227" s="245"/>
      <c r="D227" s="245"/>
      <c r="E227" s="245"/>
      <c r="F227" s="79" t="s">
        <v>133</v>
      </c>
      <c r="G227" s="80">
        <f>H227+I227+J227+K227+M227</f>
        <v>3937369.86</v>
      </c>
      <c r="H227" s="80">
        <f t="shared" ref="H227:I229" si="66">H231+H235+H239+H247+H243</f>
        <v>1742784.25</v>
      </c>
      <c r="I227" s="80">
        <f>I231+I235+I239+I247+I243</f>
        <v>722529.92999999993</v>
      </c>
      <c r="J227" s="80">
        <f t="shared" ref="J227:M229" si="67">J231+J235+J239+J247+J243</f>
        <v>472055.68</v>
      </c>
      <c r="K227" s="80">
        <f t="shared" si="67"/>
        <v>500000</v>
      </c>
      <c r="L227" s="80">
        <f>L231+L235+L239+L247+L243</f>
        <v>500000</v>
      </c>
      <c r="M227" s="80">
        <f t="shared" si="67"/>
        <v>500000</v>
      </c>
      <c r="N227" s="275"/>
    </row>
    <row r="228" spans="1:16" ht="21.75" customHeight="1" x14ac:dyDescent="0.25">
      <c r="A228" s="239"/>
      <c r="B228" s="242"/>
      <c r="C228" s="245"/>
      <c r="D228" s="245"/>
      <c r="E228" s="245"/>
      <c r="F228" s="79" t="s">
        <v>16</v>
      </c>
      <c r="G228" s="80">
        <f>H228+I228+J228+K228+M228</f>
        <v>18762281.43</v>
      </c>
      <c r="H228" s="80">
        <f t="shared" si="66"/>
        <v>200000</v>
      </c>
      <c r="I228" s="80">
        <f t="shared" si="66"/>
        <v>3612960.71</v>
      </c>
      <c r="J228" s="80">
        <f t="shared" si="67"/>
        <v>4600412.5599999996</v>
      </c>
      <c r="K228" s="80">
        <f t="shared" si="67"/>
        <v>4971604.92</v>
      </c>
      <c r="L228" s="80">
        <f>L232+L236+L240+L248+L244</f>
        <v>5170475.4000000004</v>
      </c>
      <c r="M228" s="80">
        <f t="shared" si="67"/>
        <v>5377303.2400000002</v>
      </c>
      <c r="N228" s="275"/>
    </row>
    <row r="229" spans="1:16" ht="21.75" customHeight="1" x14ac:dyDescent="0.25">
      <c r="A229" s="240"/>
      <c r="B229" s="243"/>
      <c r="C229" s="246"/>
      <c r="D229" s="246"/>
      <c r="E229" s="246"/>
      <c r="F229" s="79" t="s">
        <v>17</v>
      </c>
      <c r="G229" s="80">
        <f>H229+I229+J229+K229+M229</f>
        <v>0</v>
      </c>
      <c r="H229" s="80">
        <f t="shared" si="66"/>
        <v>0</v>
      </c>
      <c r="I229" s="80">
        <f t="shared" si="66"/>
        <v>0</v>
      </c>
      <c r="J229" s="80">
        <f t="shared" si="67"/>
        <v>0</v>
      </c>
      <c r="K229" s="80">
        <f t="shared" si="67"/>
        <v>0</v>
      </c>
      <c r="L229" s="80">
        <f>L233+L237+L241+L249+L245</f>
        <v>0</v>
      </c>
      <c r="M229" s="80">
        <f t="shared" si="67"/>
        <v>0</v>
      </c>
      <c r="N229" s="276"/>
    </row>
    <row r="230" spans="1:16" ht="21.75" customHeight="1" x14ac:dyDescent="0.25">
      <c r="A230" s="247" t="s">
        <v>18</v>
      </c>
      <c r="B230" s="250" t="s">
        <v>138</v>
      </c>
      <c r="C230" s="253" t="s">
        <v>11</v>
      </c>
      <c r="D230" s="268" t="s">
        <v>95</v>
      </c>
      <c r="E230" s="253" t="s">
        <v>153</v>
      </c>
      <c r="F230" s="85" t="s">
        <v>14</v>
      </c>
      <c r="G230" s="86">
        <f t="shared" ref="G230:M230" si="68">G231+G232+G233</f>
        <v>1525881.79</v>
      </c>
      <c r="H230" s="86">
        <f t="shared" si="68"/>
        <v>1426776.79</v>
      </c>
      <c r="I230" s="86">
        <f t="shared" si="68"/>
        <v>0</v>
      </c>
      <c r="J230" s="87">
        <f t="shared" si="68"/>
        <v>50969</v>
      </c>
      <c r="K230" s="86">
        <f t="shared" si="68"/>
        <v>24068</v>
      </c>
      <c r="L230" s="86">
        <f>L231+L232+L233</f>
        <v>24068</v>
      </c>
      <c r="M230" s="86">
        <f t="shared" si="68"/>
        <v>24068</v>
      </c>
      <c r="N230" s="277" t="s">
        <v>150</v>
      </c>
    </row>
    <row r="231" spans="1:16" ht="21.75" customHeight="1" x14ac:dyDescent="0.25">
      <c r="A231" s="248"/>
      <c r="B231" s="251"/>
      <c r="C231" s="254"/>
      <c r="D231" s="269"/>
      <c r="E231" s="254"/>
      <c r="F231" s="85" t="s">
        <v>133</v>
      </c>
      <c r="G231" s="86">
        <f>H231+I231+J231+K231+M231</f>
        <v>1525881.79</v>
      </c>
      <c r="H231" s="86">
        <f>76776.79+1000000+350000</f>
        <v>1426776.79</v>
      </c>
      <c r="I231" s="86">
        <v>0</v>
      </c>
      <c r="J231" s="87">
        <f>'[9]2022 год'!$D$15+'[9]2022 год'!$E$19</f>
        <v>50969</v>
      </c>
      <c r="K231" s="86">
        <v>24068</v>
      </c>
      <c r="L231" s="86">
        <v>24068</v>
      </c>
      <c r="M231" s="86">
        <v>24068</v>
      </c>
      <c r="N231" s="278"/>
    </row>
    <row r="232" spans="1:16" ht="21.75" customHeight="1" x14ac:dyDescent="0.25">
      <c r="A232" s="248"/>
      <c r="B232" s="251"/>
      <c r="C232" s="254"/>
      <c r="D232" s="269"/>
      <c r="E232" s="254"/>
      <c r="F232" s="85" t="s">
        <v>16</v>
      </c>
      <c r="G232" s="86">
        <f>H232+I232+J232+K232+M232</f>
        <v>0</v>
      </c>
      <c r="H232" s="86">
        <v>0</v>
      </c>
      <c r="I232" s="86">
        <v>0</v>
      </c>
      <c r="J232" s="87">
        <v>0</v>
      </c>
      <c r="K232" s="86">
        <v>0</v>
      </c>
      <c r="L232" s="86">
        <v>0</v>
      </c>
      <c r="M232" s="86">
        <v>0</v>
      </c>
      <c r="N232" s="278"/>
    </row>
    <row r="233" spans="1:16" ht="21.75" customHeight="1" x14ac:dyDescent="0.25">
      <c r="A233" s="249"/>
      <c r="B233" s="252"/>
      <c r="C233" s="254"/>
      <c r="D233" s="270"/>
      <c r="E233" s="255"/>
      <c r="F233" s="85" t="s">
        <v>17</v>
      </c>
      <c r="G233" s="86">
        <f>H233+I233+J233+K233+M233</f>
        <v>0</v>
      </c>
      <c r="H233" s="86">
        <v>0</v>
      </c>
      <c r="I233" s="86">
        <v>0</v>
      </c>
      <c r="J233" s="87">
        <v>0</v>
      </c>
      <c r="K233" s="86">
        <v>0</v>
      </c>
      <c r="L233" s="86">
        <v>0</v>
      </c>
      <c r="M233" s="86">
        <v>0</v>
      </c>
      <c r="N233" s="278"/>
    </row>
    <row r="234" spans="1:16" ht="21.75" customHeight="1" x14ac:dyDescent="0.25">
      <c r="A234" s="247" t="s">
        <v>78</v>
      </c>
      <c r="B234" s="250" t="s">
        <v>96</v>
      </c>
      <c r="C234" s="253" t="s">
        <v>11</v>
      </c>
      <c r="D234" s="268" t="s">
        <v>93</v>
      </c>
      <c r="E234" s="253" t="s">
        <v>153</v>
      </c>
      <c r="F234" s="85" t="s">
        <v>14</v>
      </c>
      <c r="G234" s="86">
        <f t="shared" ref="G234:M234" si="69">G235+G236+G237</f>
        <v>1493382.4000000001</v>
      </c>
      <c r="H234" s="86">
        <f t="shared" si="69"/>
        <v>199970.46</v>
      </c>
      <c r="I234" s="86">
        <f t="shared" si="69"/>
        <v>422529.93</v>
      </c>
      <c r="J234" s="87">
        <f t="shared" si="69"/>
        <v>279313.93</v>
      </c>
      <c r="K234" s="86">
        <f t="shared" si="69"/>
        <v>295784.03999999998</v>
      </c>
      <c r="L234" s="86">
        <f>L235+L236+L237</f>
        <v>295784.03999999998</v>
      </c>
      <c r="M234" s="86">
        <f t="shared" si="69"/>
        <v>295784.03999999998</v>
      </c>
      <c r="N234" s="278"/>
    </row>
    <row r="235" spans="1:16" ht="21.75" customHeight="1" x14ac:dyDescent="0.25">
      <c r="A235" s="248"/>
      <c r="B235" s="251"/>
      <c r="C235" s="254"/>
      <c r="D235" s="269"/>
      <c r="E235" s="254"/>
      <c r="F235" s="85" t="s">
        <v>133</v>
      </c>
      <c r="G235" s="86">
        <f>H235+I235+J235+K235+M235</f>
        <v>1493382.4000000001</v>
      </c>
      <c r="H235" s="86">
        <f>190170.46+9800</f>
        <v>199970.46</v>
      </c>
      <c r="I235" s="86">
        <v>422529.93</v>
      </c>
      <c r="J235" s="87">
        <f>'[9]2022 год'!$C$20+'[9]2022 год'!$F$20-27944.32</f>
        <v>279313.93</v>
      </c>
      <c r="K235" s="86">
        <v>295784.03999999998</v>
      </c>
      <c r="L235" s="86">
        <v>295784.03999999998</v>
      </c>
      <c r="M235" s="86">
        <v>295784.03999999998</v>
      </c>
      <c r="N235" s="278"/>
    </row>
    <row r="236" spans="1:16" ht="21.75" customHeight="1" x14ac:dyDescent="0.25">
      <c r="A236" s="248"/>
      <c r="B236" s="251"/>
      <c r="C236" s="254"/>
      <c r="D236" s="269"/>
      <c r="E236" s="254"/>
      <c r="F236" s="85" t="s">
        <v>16</v>
      </c>
      <c r="G236" s="86">
        <f>H236+I236+J236+K236+M236</f>
        <v>0</v>
      </c>
      <c r="H236" s="86">
        <v>0</v>
      </c>
      <c r="I236" s="86">
        <v>0</v>
      </c>
      <c r="J236" s="87">
        <v>0</v>
      </c>
      <c r="K236" s="86">
        <v>0</v>
      </c>
      <c r="L236" s="86">
        <v>0</v>
      </c>
      <c r="M236" s="86">
        <v>0</v>
      </c>
      <c r="N236" s="278"/>
    </row>
    <row r="237" spans="1:16" ht="21.75" customHeight="1" x14ac:dyDescent="0.25">
      <c r="A237" s="249"/>
      <c r="B237" s="252"/>
      <c r="C237" s="254"/>
      <c r="D237" s="270"/>
      <c r="E237" s="255"/>
      <c r="F237" s="85" t="s">
        <v>17</v>
      </c>
      <c r="G237" s="86">
        <f>H237+I237+J237+K237+M237</f>
        <v>0</v>
      </c>
      <c r="H237" s="86">
        <v>0</v>
      </c>
      <c r="I237" s="86">
        <v>0</v>
      </c>
      <c r="J237" s="87">
        <v>0</v>
      </c>
      <c r="K237" s="86">
        <v>0</v>
      </c>
      <c r="L237" s="86">
        <v>0</v>
      </c>
      <c r="M237" s="86">
        <v>0</v>
      </c>
      <c r="N237" s="278"/>
    </row>
    <row r="238" spans="1:16" ht="21.75" customHeight="1" x14ac:dyDescent="0.25">
      <c r="A238" s="247" t="s">
        <v>81</v>
      </c>
      <c r="B238" s="250" t="s">
        <v>97</v>
      </c>
      <c r="C238" s="253" t="s">
        <v>11</v>
      </c>
      <c r="D238" s="268" t="s">
        <v>42</v>
      </c>
      <c r="E238" s="253" t="s">
        <v>153</v>
      </c>
      <c r="F238" s="85" t="s">
        <v>14</v>
      </c>
      <c r="G238" s="86">
        <f t="shared" ref="G238:M238" si="70">G239+G240+G241</f>
        <v>0</v>
      </c>
      <c r="H238" s="86">
        <f t="shared" si="70"/>
        <v>0</v>
      </c>
      <c r="I238" s="86">
        <f t="shared" si="70"/>
        <v>0</v>
      </c>
      <c r="J238" s="87">
        <f t="shared" si="70"/>
        <v>0</v>
      </c>
      <c r="K238" s="86">
        <f t="shared" si="70"/>
        <v>0</v>
      </c>
      <c r="L238" s="86">
        <f>L239+L240+L241</f>
        <v>0</v>
      </c>
      <c r="M238" s="86">
        <f t="shared" si="70"/>
        <v>0</v>
      </c>
      <c r="N238" s="278"/>
    </row>
    <row r="239" spans="1:16" ht="21.75" customHeight="1" x14ac:dyDescent="0.25">
      <c r="A239" s="248"/>
      <c r="B239" s="251"/>
      <c r="C239" s="254"/>
      <c r="D239" s="269"/>
      <c r="E239" s="254"/>
      <c r="F239" s="85" t="s">
        <v>133</v>
      </c>
      <c r="G239" s="86">
        <f>H239+I239+J239+K239+M239</f>
        <v>0</v>
      </c>
      <c r="H239" s="86">
        <v>0</v>
      </c>
      <c r="I239" s="86">
        <v>0</v>
      </c>
      <c r="J239" s="87">
        <v>0</v>
      </c>
      <c r="K239" s="86"/>
      <c r="L239" s="86">
        <v>0</v>
      </c>
      <c r="M239" s="86">
        <v>0</v>
      </c>
      <c r="N239" s="278"/>
    </row>
    <row r="240" spans="1:16" ht="21.75" customHeight="1" x14ac:dyDescent="0.25">
      <c r="A240" s="248"/>
      <c r="B240" s="251"/>
      <c r="C240" s="254"/>
      <c r="D240" s="269"/>
      <c r="E240" s="254"/>
      <c r="F240" s="85" t="s">
        <v>16</v>
      </c>
      <c r="G240" s="86">
        <f>H240+I240+J240+K240+M240</f>
        <v>0</v>
      </c>
      <c r="H240" s="86">
        <v>0</v>
      </c>
      <c r="I240" s="86">
        <v>0</v>
      </c>
      <c r="J240" s="87">
        <v>0</v>
      </c>
      <c r="K240" s="86">
        <v>0</v>
      </c>
      <c r="L240" s="86">
        <v>0</v>
      </c>
      <c r="M240" s="86">
        <v>0</v>
      </c>
      <c r="N240" s="278"/>
    </row>
    <row r="241" spans="1:14" ht="21.75" customHeight="1" x14ac:dyDescent="0.25">
      <c r="A241" s="249"/>
      <c r="B241" s="252"/>
      <c r="C241" s="254"/>
      <c r="D241" s="270"/>
      <c r="E241" s="255"/>
      <c r="F241" s="85" t="s">
        <v>17</v>
      </c>
      <c r="G241" s="86">
        <f>H241+I241+J241+K241+M241</f>
        <v>0</v>
      </c>
      <c r="H241" s="86">
        <v>0</v>
      </c>
      <c r="I241" s="86">
        <v>0</v>
      </c>
      <c r="J241" s="87">
        <v>0</v>
      </c>
      <c r="K241" s="86">
        <v>0</v>
      </c>
      <c r="L241" s="86">
        <v>0</v>
      </c>
      <c r="M241" s="86">
        <v>0</v>
      </c>
      <c r="N241" s="278"/>
    </row>
    <row r="242" spans="1:14" ht="21.75" customHeight="1" x14ac:dyDescent="0.25">
      <c r="A242" s="247" t="s">
        <v>94</v>
      </c>
      <c r="B242" s="250" t="s">
        <v>98</v>
      </c>
      <c r="C242" s="253" t="s">
        <v>11</v>
      </c>
      <c r="D242" s="268" t="s">
        <v>99</v>
      </c>
      <c r="E242" s="253" t="s">
        <v>153</v>
      </c>
      <c r="F242" s="85" t="s">
        <v>14</v>
      </c>
      <c r="G242" s="86">
        <f t="shared" ref="G242:M242" si="71">G243+G244+G245</f>
        <v>1439105.67</v>
      </c>
      <c r="H242" s="86">
        <f t="shared" si="71"/>
        <v>316037</v>
      </c>
      <c r="I242" s="86">
        <f t="shared" si="71"/>
        <v>390000</v>
      </c>
      <c r="J242" s="87">
        <f t="shared" si="71"/>
        <v>372772.75</v>
      </c>
      <c r="K242" s="86">
        <f t="shared" si="71"/>
        <v>180147.96</v>
      </c>
      <c r="L242" s="86">
        <f>L243+L244+L245</f>
        <v>180147.96</v>
      </c>
      <c r="M242" s="86">
        <f t="shared" si="71"/>
        <v>180147.96</v>
      </c>
      <c r="N242" s="278"/>
    </row>
    <row r="243" spans="1:14" ht="21.75" customHeight="1" x14ac:dyDescent="0.25">
      <c r="A243" s="248"/>
      <c r="B243" s="251"/>
      <c r="C243" s="254"/>
      <c r="D243" s="269"/>
      <c r="E243" s="254"/>
      <c r="F243" s="85" t="s">
        <v>133</v>
      </c>
      <c r="G243" s="86">
        <f>H243+I243+J243+K243+M243</f>
        <v>718105.66999999993</v>
      </c>
      <c r="H243" s="86">
        <v>116037</v>
      </c>
      <c r="I243" s="86">
        <f>157703.92-57703.92</f>
        <v>100000.00000000001</v>
      </c>
      <c r="J243" s="87">
        <f>110000+'[9]2022 год'!$D$19</f>
        <v>141772.75</v>
      </c>
      <c r="K243" s="86">
        <v>180147.96</v>
      </c>
      <c r="L243" s="86">
        <v>180147.96</v>
      </c>
      <c r="M243" s="86">
        <v>180147.96</v>
      </c>
      <c r="N243" s="278"/>
    </row>
    <row r="244" spans="1:14" ht="21.75" customHeight="1" x14ac:dyDescent="0.25">
      <c r="A244" s="248"/>
      <c r="B244" s="251"/>
      <c r="C244" s="254"/>
      <c r="D244" s="269"/>
      <c r="E244" s="254"/>
      <c r="F244" s="85" t="s">
        <v>16</v>
      </c>
      <c r="G244" s="86">
        <f>H244+I244+J244+K244+M244</f>
        <v>721000</v>
      </c>
      <c r="H244" s="86">
        <v>200000</v>
      </c>
      <c r="I244" s="86">
        <v>290000</v>
      </c>
      <c r="J244" s="87">
        <v>231000</v>
      </c>
      <c r="K244" s="86">
        <v>0</v>
      </c>
      <c r="L244" s="86">
        <v>0</v>
      </c>
      <c r="M244" s="86">
        <v>0</v>
      </c>
      <c r="N244" s="278"/>
    </row>
    <row r="245" spans="1:14" ht="21.75" customHeight="1" x14ac:dyDescent="0.25">
      <c r="A245" s="249"/>
      <c r="B245" s="252"/>
      <c r="C245" s="254"/>
      <c r="D245" s="270"/>
      <c r="E245" s="255"/>
      <c r="F245" s="85" t="s">
        <v>17</v>
      </c>
      <c r="G245" s="86">
        <f>H245+I245+J245+K245+M245</f>
        <v>0</v>
      </c>
      <c r="H245" s="86">
        <v>0</v>
      </c>
      <c r="I245" s="86">
        <v>0</v>
      </c>
      <c r="J245" s="87">
        <v>0</v>
      </c>
      <c r="K245" s="86">
        <v>0</v>
      </c>
      <c r="L245" s="86">
        <v>0</v>
      </c>
      <c r="M245" s="86">
        <v>0</v>
      </c>
      <c r="N245" s="278"/>
    </row>
    <row r="246" spans="1:14" ht="21.75" customHeight="1" x14ac:dyDescent="0.25">
      <c r="A246" s="247" t="s">
        <v>102</v>
      </c>
      <c r="B246" s="250" t="s">
        <v>100</v>
      </c>
      <c r="C246" s="253" t="s">
        <v>11</v>
      </c>
      <c r="D246" s="268" t="s">
        <v>101</v>
      </c>
      <c r="E246" s="253" t="s">
        <v>153</v>
      </c>
      <c r="F246" s="85" t="s">
        <v>14</v>
      </c>
      <c r="G246" s="86">
        <f t="shared" ref="G246:M246" si="72">G247+G248+G249</f>
        <v>18241281.43</v>
      </c>
      <c r="H246" s="86">
        <f t="shared" si="72"/>
        <v>0</v>
      </c>
      <c r="I246" s="86">
        <f t="shared" si="72"/>
        <v>3522960.71</v>
      </c>
      <c r="J246" s="87">
        <f t="shared" si="72"/>
        <v>4369412.5599999996</v>
      </c>
      <c r="K246" s="86">
        <f t="shared" si="72"/>
        <v>4971604.92</v>
      </c>
      <c r="L246" s="86">
        <f>L247+L248+L249</f>
        <v>5170475.4000000004</v>
      </c>
      <c r="M246" s="86">
        <f t="shared" si="72"/>
        <v>5377303.2400000002</v>
      </c>
      <c r="N246" s="278"/>
    </row>
    <row r="247" spans="1:14" ht="21.75" customHeight="1" x14ac:dyDescent="0.25">
      <c r="A247" s="248"/>
      <c r="B247" s="251"/>
      <c r="C247" s="254"/>
      <c r="D247" s="269"/>
      <c r="E247" s="254"/>
      <c r="F247" s="85" t="s">
        <v>133</v>
      </c>
      <c r="G247" s="86">
        <f>H247+I247+J247+K247+M247</f>
        <v>200000</v>
      </c>
      <c r="H247" s="86">
        <v>0</v>
      </c>
      <c r="I247" s="86">
        <f>200000+572400-572400</f>
        <v>200000</v>
      </c>
      <c r="J247" s="87">
        <v>0</v>
      </c>
      <c r="K247" s="86">
        <v>0</v>
      </c>
      <c r="L247" s="86">
        <v>0</v>
      </c>
      <c r="M247" s="86">
        <v>0</v>
      </c>
      <c r="N247" s="278"/>
    </row>
    <row r="248" spans="1:14" ht="21.75" customHeight="1" x14ac:dyDescent="0.25">
      <c r="A248" s="248"/>
      <c r="B248" s="251"/>
      <c r="C248" s="254"/>
      <c r="D248" s="269"/>
      <c r="E248" s="254"/>
      <c r="F248" s="85" t="s">
        <v>16</v>
      </c>
      <c r="G248" s="86">
        <f>H248+I248+J248+K248+M248</f>
        <v>18041281.43</v>
      </c>
      <c r="H248" s="86">
        <v>0</v>
      </c>
      <c r="I248" s="86">
        <f>4922960.71-1600000</f>
        <v>3322960.71</v>
      </c>
      <c r="J248" s="87">
        <v>4369412.5599999996</v>
      </c>
      <c r="K248" s="86">
        <v>4971604.92</v>
      </c>
      <c r="L248" s="86">
        <v>5170475.4000000004</v>
      </c>
      <c r="M248" s="86">
        <v>5377303.2400000002</v>
      </c>
      <c r="N248" s="278"/>
    </row>
    <row r="249" spans="1:14" ht="21.75" customHeight="1" x14ac:dyDescent="0.25">
      <c r="A249" s="249"/>
      <c r="B249" s="252"/>
      <c r="C249" s="254"/>
      <c r="D249" s="270"/>
      <c r="E249" s="255"/>
      <c r="F249" s="85" t="s">
        <v>17</v>
      </c>
      <c r="G249" s="86">
        <f>H249+I249+J249+K249+M249</f>
        <v>0</v>
      </c>
      <c r="H249" s="86">
        <v>0</v>
      </c>
      <c r="I249" s="86">
        <v>0</v>
      </c>
      <c r="J249" s="86">
        <v>0</v>
      </c>
      <c r="K249" s="86">
        <v>0</v>
      </c>
      <c r="L249" s="86">
        <v>0</v>
      </c>
      <c r="M249" s="86">
        <v>0</v>
      </c>
      <c r="N249" s="278"/>
    </row>
    <row r="250" spans="1:14" ht="21.75" customHeight="1" x14ac:dyDescent="0.25">
      <c r="A250" s="238"/>
      <c r="B250" s="241" t="s">
        <v>142</v>
      </c>
      <c r="C250" s="244" t="s">
        <v>11</v>
      </c>
      <c r="D250" s="271" t="s">
        <v>42</v>
      </c>
      <c r="E250" s="244" t="s">
        <v>153</v>
      </c>
      <c r="F250" s="79" t="s">
        <v>14</v>
      </c>
      <c r="G250" s="80">
        <f t="shared" ref="G250:M250" si="73">G251+G252+G253</f>
        <v>4640995.75</v>
      </c>
      <c r="H250" s="80">
        <f t="shared" si="73"/>
        <v>600000</v>
      </c>
      <c r="I250" s="80">
        <f t="shared" si="73"/>
        <v>557000</v>
      </c>
      <c r="J250" s="80">
        <f t="shared" si="73"/>
        <v>550591.55000000005</v>
      </c>
      <c r="K250" s="80">
        <f t="shared" si="73"/>
        <v>1466702.1</v>
      </c>
      <c r="L250" s="80">
        <f>L251+L252+L253</f>
        <v>1466702.1</v>
      </c>
      <c r="M250" s="80">
        <f t="shared" si="73"/>
        <v>1466702.1</v>
      </c>
      <c r="N250" s="274"/>
    </row>
    <row r="251" spans="1:14" ht="21.75" customHeight="1" x14ac:dyDescent="0.25">
      <c r="A251" s="239"/>
      <c r="B251" s="242"/>
      <c r="C251" s="245"/>
      <c r="D251" s="272"/>
      <c r="E251" s="245"/>
      <c r="F251" s="79" t="s">
        <v>133</v>
      </c>
      <c r="G251" s="80">
        <f>H251+I251+J251+K251+M251</f>
        <v>4640995.75</v>
      </c>
      <c r="H251" s="80">
        <f t="shared" ref="H251:M253" si="74">H255+H263+H279+H283+H259+H267+H271+H275</f>
        <v>600000</v>
      </c>
      <c r="I251" s="80">
        <f t="shared" si="74"/>
        <v>557000</v>
      </c>
      <c r="J251" s="80">
        <f t="shared" si="74"/>
        <v>550591.55000000005</v>
      </c>
      <c r="K251" s="80">
        <f t="shared" si="74"/>
        <v>1466702.1</v>
      </c>
      <c r="L251" s="80">
        <f t="shared" si="74"/>
        <v>1466702.1</v>
      </c>
      <c r="M251" s="80">
        <f t="shared" si="74"/>
        <v>1466702.1</v>
      </c>
      <c r="N251" s="275"/>
    </row>
    <row r="252" spans="1:14" ht="21.75" customHeight="1" x14ac:dyDescent="0.25">
      <c r="A252" s="239"/>
      <c r="B252" s="242"/>
      <c r="C252" s="245"/>
      <c r="D252" s="272"/>
      <c r="E252" s="245"/>
      <c r="F252" s="79" t="s">
        <v>16</v>
      </c>
      <c r="G252" s="80">
        <f>H252+I252+J252+K252+M252</f>
        <v>0</v>
      </c>
      <c r="H252" s="80">
        <f t="shared" si="74"/>
        <v>0</v>
      </c>
      <c r="I252" s="80">
        <f t="shared" si="74"/>
        <v>0</v>
      </c>
      <c r="J252" s="80">
        <f t="shared" si="74"/>
        <v>0</v>
      </c>
      <c r="K252" s="80">
        <f t="shared" si="74"/>
        <v>0</v>
      </c>
      <c r="L252" s="80">
        <f t="shared" si="74"/>
        <v>0</v>
      </c>
      <c r="M252" s="80">
        <f t="shared" si="74"/>
        <v>0</v>
      </c>
      <c r="N252" s="275"/>
    </row>
    <row r="253" spans="1:14" ht="21.75" customHeight="1" x14ac:dyDescent="0.25">
      <c r="A253" s="240"/>
      <c r="B253" s="243"/>
      <c r="C253" s="246"/>
      <c r="D253" s="273"/>
      <c r="E253" s="246"/>
      <c r="F253" s="79" t="s">
        <v>17</v>
      </c>
      <c r="G253" s="80">
        <f>H253+I253+J253+K253+M253</f>
        <v>0</v>
      </c>
      <c r="H253" s="80">
        <f t="shared" si="74"/>
        <v>0</v>
      </c>
      <c r="I253" s="80">
        <f t="shared" si="74"/>
        <v>0</v>
      </c>
      <c r="J253" s="80">
        <f t="shared" si="74"/>
        <v>0</v>
      </c>
      <c r="K253" s="80">
        <f t="shared" si="74"/>
        <v>0</v>
      </c>
      <c r="L253" s="80">
        <f t="shared" si="74"/>
        <v>0</v>
      </c>
      <c r="M253" s="80">
        <f t="shared" si="74"/>
        <v>0</v>
      </c>
      <c r="N253" s="276"/>
    </row>
    <row r="254" spans="1:14" ht="21.75" customHeight="1" x14ac:dyDescent="0.25">
      <c r="A254" s="247" t="s">
        <v>18</v>
      </c>
      <c r="B254" s="250" t="s">
        <v>104</v>
      </c>
      <c r="C254" s="253" t="s">
        <v>11</v>
      </c>
      <c r="D254" s="268" t="s">
        <v>42</v>
      </c>
      <c r="E254" s="253" t="s">
        <v>153</v>
      </c>
      <c r="F254" s="85" t="s">
        <v>14</v>
      </c>
      <c r="G254" s="86">
        <f t="shared" ref="G254:M254" si="75">G255+G256+G257</f>
        <v>952762.74</v>
      </c>
      <c r="H254" s="86">
        <f t="shared" si="75"/>
        <v>235000</v>
      </c>
      <c r="I254" s="86">
        <f t="shared" si="75"/>
        <v>197749.8</v>
      </c>
      <c r="J254" s="86">
        <f t="shared" si="75"/>
        <v>196012.94</v>
      </c>
      <c r="K254" s="86">
        <f t="shared" si="75"/>
        <v>162000</v>
      </c>
      <c r="L254" s="86">
        <f>L255+L256+L257</f>
        <v>162000</v>
      </c>
      <c r="M254" s="86">
        <f t="shared" si="75"/>
        <v>162000</v>
      </c>
      <c r="N254" s="260" t="s">
        <v>151</v>
      </c>
    </row>
    <row r="255" spans="1:14" ht="21.75" customHeight="1" x14ac:dyDescent="0.25">
      <c r="A255" s="248"/>
      <c r="B255" s="251"/>
      <c r="C255" s="254"/>
      <c r="D255" s="269"/>
      <c r="E255" s="254"/>
      <c r="F255" s="85" t="s">
        <v>133</v>
      </c>
      <c r="G255" s="86">
        <f>H255+I255+J255+K255+M255</f>
        <v>952762.74</v>
      </c>
      <c r="H255" s="86">
        <v>235000</v>
      </c>
      <c r="I255" s="86">
        <f>252000-I263-4250.2</f>
        <v>197749.8</v>
      </c>
      <c r="J255" s="86">
        <f>202000+[10]ИЦ!$F$19</f>
        <v>196012.94</v>
      </c>
      <c r="K255" s="86">
        <v>162000</v>
      </c>
      <c r="L255" s="86">
        <v>162000</v>
      </c>
      <c r="M255" s="86">
        <v>162000</v>
      </c>
      <c r="N255" s="260"/>
    </row>
    <row r="256" spans="1:14" ht="21.75" customHeight="1" x14ac:dyDescent="0.25">
      <c r="A256" s="248"/>
      <c r="B256" s="251"/>
      <c r="C256" s="254"/>
      <c r="D256" s="269"/>
      <c r="E256" s="254"/>
      <c r="F256" s="85" t="s">
        <v>16</v>
      </c>
      <c r="G256" s="86">
        <f>H256+I256+J256+K256+M256</f>
        <v>0</v>
      </c>
      <c r="H256" s="86">
        <v>0</v>
      </c>
      <c r="I256" s="86">
        <v>0</v>
      </c>
      <c r="J256" s="86">
        <v>0</v>
      </c>
      <c r="K256" s="86">
        <v>0</v>
      </c>
      <c r="L256" s="86">
        <v>0</v>
      </c>
      <c r="M256" s="86">
        <v>0</v>
      </c>
      <c r="N256" s="260"/>
    </row>
    <row r="257" spans="1:14" ht="21.75" customHeight="1" x14ac:dyDescent="0.25">
      <c r="A257" s="249"/>
      <c r="B257" s="252"/>
      <c r="C257" s="254"/>
      <c r="D257" s="270"/>
      <c r="E257" s="255"/>
      <c r="F257" s="85" t="s">
        <v>17</v>
      </c>
      <c r="G257" s="86">
        <f>H257+I257+J257+K257+M257</f>
        <v>0</v>
      </c>
      <c r="H257" s="86">
        <v>0</v>
      </c>
      <c r="I257" s="86">
        <v>0</v>
      </c>
      <c r="J257" s="86">
        <v>0</v>
      </c>
      <c r="K257" s="86">
        <v>0</v>
      </c>
      <c r="L257" s="86">
        <v>0</v>
      </c>
      <c r="M257" s="86">
        <v>0</v>
      </c>
      <c r="N257" s="260"/>
    </row>
    <row r="258" spans="1:14" ht="21.75" customHeight="1" x14ac:dyDescent="0.25">
      <c r="A258" s="253" t="s">
        <v>25</v>
      </c>
      <c r="B258" s="250" t="s">
        <v>105</v>
      </c>
      <c r="C258" s="253" t="s">
        <v>11</v>
      </c>
      <c r="D258" s="268" t="s">
        <v>42</v>
      </c>
      <c r="E258" s="253" t="s">
        <v>153</v>
      </c>
      <c r="F258" s="85" t="s">
        <v>14</v>
      </c>
      <c r="G258" s="86">
        <f t="shared" ref="G258:M258" si="76">G259+G260+G261</f>
        <v>538828.81000000006</v>
      </c>
      <c r="H258" s="86">
        <f t="shared" si="76"/>
        <v>125000</v>
      </c>
      <c r="I258" s="86">
        <f t="shared" si="76"/>
        <v>109250.2</v>
      </c>
      <c r="J258" s="86">
        <f t="shared" si="76"/>
        <v>104578.61</v>
      </c>
      <c r="K258" s="86">
        <f t="shared" si="76"/>
        <v>100000</v>
      </c>
      <c r="L258" s="86">
        <f>L259+L260+L261</f>
        <v>100000</v>
      </c>
      <c r="M258" s="86">
        <f t="shared" si="76"/>
        <v>100000</v>
      </c>
      <c r="N258" s="260"/>
    </row>
    <row r="259" spans="1:14" ht="21.75" customHeight="1" x14ac:dyDescent="0.25">
      <c r="A259" s="254"/>
      <c r="B259" s="251"/>
      <c r="C259" s="254"/>
      <c r="D259" s="269"/>
      <c r="E259" s="254"/>
      <c r="F259" s="85" t="s">
        <v>133</v>
      </c>
      <c r="G259" s="86">
        <f>H259+I259+J259+K259+M259</f>
        <v>538828.81000000006</v>
      </c>
      <c r="H259" s="86">
        <v>125000</v>
      </c>
      <c r="I259" s="86">
        <f>105000+4250.2</f>
        <v>109250.2</v>
      </c>
      <c r="J259" s="86">
        <f>105000-421.39</f>
        <v>104578.61</v>
      </c>
      <c r="K259" s="86">
        <v>100000</v>
      </c>
      <c r="L259" s="86">
        <v>100000</v>
      </c>
      <c r="M259" s="86">
        <v>100000</v>
      </c>
      <c r="N259" s="260"/>
    </row>
    <row r="260" spans="1:14" ht="21.75" customHeight="1" x14ac:dyDescent="0.25">
      <c r="A260" s="254"/>
      <c r="B260" s="251"/>
      <c r="C260" s="254"/>
      <c r="D260" s="269"/>
      <c r="E260" s="254"/>
      <c r="F260" s="85" t="s">
        <v>16</v>
      </c>
      <c r="G260" s="86">
        <f>H260+I260+J260+K260+M260</f>
        <v>0</v>
      </c>
      <c r="H260" s="86">
        <v>0</v>
      </c>
      <c r="I260" s="86">
        <v>0</v>
      </c>
      <c r="J260" s="86">
        <v>0</v>
      </c>
      <c r="K260" s="86">
        <v>0</v>
      </c>
      <c r="L260" s="86">
        <v>0</v>
      </c>
      <c r="M260" s="86">
        <v>0</v>
      </c>
      <c r="N260" s="260"/>
    </row>
    <row r="261" spans="1:14" ht="21.75" customHeight="1" x14ac:dyDescent="0.25">
      <c r="A261" s="255"/>
      <c r="B261" s="252"/>
      <c r="C261" s="254"/>
      <c r="D261" s="270"/>
      <c r="E261" s="255"/>
      <c r="F261" s="85" t="s">
        <v>17</v>
      </c>
      <c r="G261" s="86">
        <f>H261+I261+J261+K261+M261</f>
        <v>0</v>
      </c>
      <c r="H261" s="86">
        <v>0</v>
      </c>
      <c r="I261" s="86">
        <v>0</v>
      </c>
      <c r="J261" s="86">
        <v>0</v>
      </c>
      <c r="K261" s="86">
        <v>0</v>
      </c>
      <c r="L261" s="86">
        <v>0</v>
      </c>
      <c r="M261" s="86">
        <v>0</v>
      </c>
      <c r="N261" s="260"/>
    </row>
    <row r="262" spans="1:14" ht="21.75" customHeight="1" x14ac:dyDescent="0.25">
      <c r="A262" s="247" t="s">
        <v>44</v>
      </c>
      <c r="B262" s="250" t="s">
        <v>107</v>
      </c>
      <c r="C262" s="253" t="s">
        <v>11</v>
      </c>
      <c r="D262" s="268" t="s">
        <v>42</v>
      </c>
      <c r="E262" s="253" t="s">
        <v>153</v>
      </c>
      <c r="F262" s="85" t="s">
        <v>14</v>
      </c>
      <c r="G262" s="86">
        <f t="shared" ref="G262:M262" si="77">G263+G264+G265</f>
        <v>260000</v>
      </c>
      <c r="H262" s="86">
        <f t="shared" si="77"/>
        <v>40000</v>
      </c>
      <c r="I262" s="86">
        <f t="shared" si="77"/>
        <v>50000</v>
      </c>
      <c r="J262" s="86">
        <f t="shared" si="77"/>
        <v>50000</v>
      </c>
      <c r="K262" s="86">
        <f t="shared" si="77"/>
        <v>60000</v>
      </c>
      <c r="L262" s="86">
        <f>L263+L264+L265</f>
        <v>60000</v>
      </c>
      <c r="M262" s="86">
        <f t="shared" si="77"/>
        <v>60000</v>
      </c>
      <c r="N262" s="260"/>
    </row>
    <row r="263" spans="1:14" ht="21.75" customHeight="1" x14ac:dyDescent="0.25">
      <c r="A263" s="248"/>
      <c r="B263" s="251"/>
      <c r="C263" s="254"/>
      <c r="D263" s="269"/>
      <c r="E263" s="254"/>
      <c r="F263" s="85" t="s">
        <v>133</v>
      </c>
      <c r="G263" s="86">
        <f>H263+I263+J263+K263+M263</f>
        <v>260000</v>
      </c>
      <c r="H263" s="86">
        <v>40000</v>
      </c>
      <c r="I263" s="86">
        <v>50000</v>
      </c>
      <c r="J263" s="86">
        <v>50000</v>
      </c>
      <c r="K263" s="86">
        <v>60000</v>
      </c>
      <c r="L263" s="86">
        <v>60000</v>
      </c>
      <c r="M263" s="86">
        <v>60000</v>
      </c>
      <c r="N263" s="260"/>
    </row>
    <row r="264" spans="1:14" ht="21.75" customHeight="1" x14ac:dyDescent="0.25">
      <c r="A264" s="248"/>
      <c r="B264" s="251"/>
      <c r="C264" s="254"/>
      <c r="D264" s="269"/>
      <c r="E264" s="254"/>
      <c r="F264" s="85" t="s">
        <v>16</v>
      </c>
      <c r="G264" s="86">
        <f>H264+I264+J264+K264+M264</f>
        <v>0</v>
      </c>
      <c r="H264" s="86">
        <v>0</v>
      </c>
      <c r="I264" s="86">
        <v>0</v>
      </c>
      <c r="J264" s="86">
        <v>0</v>
      </c>
      <c r="K264" s="86">
        <v>0</v>
      </c>
      <c r="L264" s="86">
        <v>0</v>
      </c>
      <c r="M264" s="86">
        <v>0</v>
      </c>
      <c r="N264" s="260"/>
    </row>
    <row r="265" spans="1:14" ht="21.75" customHeight="1" x14ac:dyDescent="0.25">
      <c r="A265" s="249"/>
      <c r="B265" s="252"/>
      <c r="C265" s="254"/>
      <c r="D265" s="270"/>
      <c r="E265" s="255"/>
      <c r="F265" s="85" t="s">
        <v>17</v>
      </c>
      <c r="G265" s="86">
        <f>H265+I265+J265+K265+M265</f>
        <v>0</v>
      </c>
      <c r="H265" s="86">
        <v>0</v>
      </c>
      <c r="I265" s="86">
        <v>0</v>
      </c>
      <c r="J265" s="86">
        <v>0</v>
      </c>
      <c r="K265" s="86">
        <v>0</v>
      </c>
      <c r="L265" s="86">
        <v>0</v>
      </c>
      <c r="M265" s="86">
        <v>0</v>
      </c>
      <c r="N265" s="260"/>
    </row>
    <row r="266" spans="1:14" ht="21.75" customHeight="1" x14ac:dyDescent="0.25">
      <c r="A266" s="253" t="s">
        <v>78</v>
      </c>
      <c r="B266" s="250" t="s">
        <v>132</v>
      </c>
      <c r="C266" s="253" t="s">
        <v>11</v>
      </c>
      <c r="D266" s="262" t="s">
        <v>37</v>
      </c>
      <c r="E266" s="253" t="s">
        <v>153</v>
      </c>
      <c r="F266" s="85" t="s">
        <v>14</v>
      </c>
      <c r="G266" s="86">
        <f t="shared" ref="G266:M266" si="78">G267+G268+G269</f>
        <v>2000000</v>
      </c>
      <c r="H266" s="86">
        <f t="shared" si="78"/>
        <v>200000</v>
      </c>
      <c r="I266" s="86">
        <f t="shared" si="78"/>
        <v>200000</v>
      </c>
      <c r="J266" s="86">
        <f t="shared" si="78"/>
        <v>200000</v>
      </c>
      <c r="K266" s="86">
        <f t="shared" si="78"/>
        <v>700000</v>
      </c>
      <c r="L266" s="86">
        <f t="shared" si="78"/>
        <v>700000</v>
      </c>
      <c r="M266" s="86">
        <f t="shared" si="78"/>
        <v>700000</v>
      </c>
      <c r="N266" s="260"/>
    </row>
    <row r="267" spans="1:14" ht="21.75" customHeight="1" x14ac:dyDescent="0.25">
      <c r="A267" s="254"/>
      <c r="B267" s="251"/>
      <c r="C267" s="254"/>
      <c r="D267" s="263"/>
      <c r="E267" s="254"/>
      <c r="F267" s="85" t="s">
        <v>133</v>
      </c>
      <c r="G267" s="86">
        <f>H267+I267+J267+K267+M267</f>
        <v>2000000</v>
      </c>
      <c r="H267" s="86">
        <v>200000</v>
      </c>
      <c r="I267" s="86">
        <v>200000</v>
      </c>
      <c r="J267" s="86">
        <v>200000</v>
      </c>
      <c r="K267" s="86">
        <v>700000</v>
      </c>
      <c r="L267" s="86">
        <v>700000</v>
      </c>
      <c r="M267" s="86">
        <v>700000</v>
      </c>
      <c r="N267" s="260"/>
    </row>
    <row r="268" spans="1:14" ht="21.75" customHeight="1" x14ac:dyDescent="0.25">
      <c r="A268" s="254"/>
      <c r="B268" s="251"/>
      <c r="C268" s="254"/>
      <c r="D268" s="263"/>
      <c r="E268" s="254"/>
      <c r="F268" s="85" t="s">
        <v>16</v>
      </c>
      <c r="G268" s="86">
        <f>H268+I268+J268+K268+M268</f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 s="260"/>
    </row>
    <row r="269" spans="1:14" ht="21.75" customHeight="1" x14ac:dyDescent="0.25">
      <c r="A269" s="255"/>
      <c r="B269" s="252"/>
      <c r="C269" s="254"/>
      <c r="D269" s="264"/>
      <c r="E269" s="255"/>
      <c r="F269" s="85" t="s">
        <v>17</v>
      </c>
      <c r="G269" s="86">
        <f>H269+I269+J269+K269+M269</f>
        <v>0</v>
      </c>
      <c r="H269" s="86">
        <v>0</v>
      </c>
      <c r="I269" s="86">
        <v>0</v>
      </c>
      <c r="J269" s="86">
        <v>0</v>
      </c>
      <c r="K269" s="86">
        <v>0</v>
      </c>
      <c r="L269" s="86">
        <v>0</v>
      </c>
      <c r="M269" s="86">
        <v>0</v>
      </c>
      <c r="N269" s="260"/>
    </row>
    <row r="270" spans="1:14" ht="21.75" customHeight="1" x14ac:dyDescent="0.25">
      <c r="A270" s="265" t="s">
        <v>94</v>
      </c>
      <c r="B270" s="250" t="s">
        <v>41</v>
      </c>
      <c r="C270" s="253" t="s">
        <v>11</v>
      </c>
      <c r="D270" s="268" t="s">
        <v>42</v>
      </c>
      <c r="E270" s="253" t="s">
        <v>153</v>
      </c>
      <c r="F270" s="85" t="s">
        <v>14</v>
      </c>
      <c r="G270" s="86">
        <f t="shared" ref="G270:M270" si="79">G271+G272+G273</f>
        <v>889404.2</v>
      </c>
      <c r="H270" s="86">
        <f t="shared" si="79"/>
        <v>0</v>
      </c>
      <c r="I270" s="86">
        <f t="shared" si="79"/>
        <v>0</v>
      </c>
      <c r="J270" s="86">
        <f t="shared" si="79"/>
        <v>0</v>
      </c>
      <c r="K270" s="86">
        <f t="shared" si="79"/>
        <v>444702.1</v>
      </c>
      <c r="L270" s="86">
        <f t="shared" si="79"/>
        <v>444702.1</v>
      </c>
      <c r="M270" s="86">
        <f t="shared" si="79"/>
        <v>444702.1</v>
      </c>
      <c r="N270" s="260"/>
    </row>
    <row r="271" spans="1:14" ht="21.75" customHeight="1" x14ac:dyDescent="0.25">
      <c r="A271" s="266"/>
      <c r="B271" s="251"/>
      <c r="C271" s="254"/>
      <c r="D271" s="269"/>
      <c r="E271" s="254"/>
      <c r="F271" s="85" t="s">
        <v>133</v>
      </c>
      <c r="G271" s="86">
        <f>H271+I271+J271+K271+M271</f>
        <v>889404.2</v>
      </c>
      <c r="H271" s="86"/>
      <c r="I271" s="86"/>
      <c r="J271" s="86">
        <v>0</v>
      </c>
      <c r="K271" s="86">
        <v>444702.1</v>
      </c>
      <c r="L271" s="86">
        <v>444702.1</v>
      </c>
      <c r="M271" s="86">
        <v>444702.1</v>
      </c>
      <c r="N271" s="260"/>
    </row>
    <row r="272" spans="1:14" ht="21.75" customHeight="1" x14ac:dyDescent="0.25">
      <c r="A272" s="266"/>
      <c r="B272" s="251"/>
      <c r="C272" s="254"/>
      <c r="D272" s="269"/>
      <c r="E272" s="254"/>
      <c r="F272" s="85" t="s">
        <v>16</v>
      </c>
      <c r="G272" s="86">
        <f>H272+I272+J272+K272+M272</f>
        <v>0</v>
      </c>
      <c r="H272" s="86"/>
      <c r="I272" s="86"/>
      <c r="J272" s="86">
        <v>0</v>
      </c>
      <c r="K272" s="86">
        <v>0</v>
      </c>
      <c r="L272" s="86">
        <v>0</v>
      </c>
      <c r="M272" s="86">
        <v>0</v>
      </c>
      <c r="N272" s="260"/>
    </row>
    <row r="273" spans="1:14" ht="21.75" customHeight="1" x14ac:dyDescent="0.25">
      <c r="A273" s="267"/>
      <c r="B273" s="252"/>
      <c r="C273" s="254"/>
      <c r="D273" s="270"/>
      <c r="E273" s="255"/>
      <c r="F273" s="85" t="s">
        <v>17</v>
      </c>
      <c r="G273" s="86">
        <f>H273+I273+J273+K273+M273</f>
        <v>0</v>
      </c>
      <c r="H273" s="86"/>
      <c r="I273" s="86"/>
      <c r="J273" s="86">
        <v>0</v>
      </c>
      <c r="K273" s="86">
        <v>0</v>
      </c>
      <c r="L273" s="86">
        <v>0</v>
      </c>
      <c r="M273" s="86">
        <v>0</v>
      </c>
      <c r="N273" s="260"/>
    </row>
    <row r="274" spans="1:14" ht="21.75" hidden="1" customHeight="1" outlineLevel="1" x14ac:dyDescent="0.25">
      <c r="A274" s="247" t="s">
        <v>106</v>
      </c>
      <c r="B274" s="250" t="s">
        <v>103</v>
      </c>
      <c r="C274" s="253" t="s">
        <v>11</v>
      </c>
      <c r="D274" s="253"/>
      <c r="E274" s="253" t="s">
        <v>153</v>
      </c>
      <c r="F274" s="85" t="s">
        <v>14</v>
      </c>
      <c r="G274" s="86">
        <f t="shared" ref="G274:M274" si="80">G275+G276+G277</f>
        <v>0</v>
      </c>
      <c r="H274" s="86">
        <f t="shared" si="80"/>
        <v>0</v>
      </c>
      <c r="I274" s="86">
        <f t="shared" si="80"/>
        <v>0</v>
      </c>
      <c r="J274" s="86">
        <f t="shared" si="80"/>
        <v>0</v>
      </c>
      <c r="K274" s="86">
        <f t="shared" si="80"/>
        <v>0</v>
      </c>
      <c r="L274" s="86">
        <f>L275+L276+L277</f>
        <v>0</v>
      </c>
      <c r="M274" s="86">
        <f t="shared" si="80"/>
        <v>0</v>
      </c>
      <c r="N274" s="260"/>
    </row>
    <row r="275" spans="1:14" ht="21.75" hidden="1" customHeight="1" outlineLevel="1" x14ac:dyDescent="0.25">
      <c r="A275" s="248"/>
      <c r="B275" s="251"/>
      <c r="C275" s="254"/>
      <c r="D275" s="254"/>
      <c r="E275" s="254"/>
      <c r="F275" s="85" t="s">
        <v>15</v>
      </c>
      <c r="G275" s="86">
        <f>H275+I275+J275+K275+M275</f>
        <v>0</v>
      </c>
      <c r="H275" s="86">
        <v>0</v>
      </c>
      <c r="I275" s="86">
        <v>0</v>
      </c>
      <c r="J275" s="86">
        <v>0</v>
      </c>
      <c r="K275" s="86">
        <v>0</v>
      </c>
      <c r="L275" s="86">
        <v>0</v>
      </c>
      <c r="M275" s="86">
        <v>0</v>
      </c>
      <c r="N275" s="260"/>
    </row>
    <row r="276" spans="1:14" ht="21.75" hidden="1" customHeight="1" outlineLevel="1" x14ac:dyDescent="0.25">
      <c r="A276" s="248"/>
      <c r="B276" s="251"/>
      <c r="C276" s="254"/>
      <c r="D276" s="254"/>
      <c r="E276" s="254"/>
      <c r="F276" s="85" t="s">
        <v>16</v>
      </c>
      <c r="G276" s="86">
        <f>H276+I276+J276+K276+M276</f>
        <v>0</v>
      </c>
      <c r="H276" s="86">
        <v>0</v>
      </c>
      <c r="I276" s="86">
        <v>0</v>
      </c>
      <c r="J276" s="86">
        <v>0</v>
      </c>
      <c r="K276" s="86">
        <v>0</v>
      </c>
      <c r="L276" s="86">
        <v>0</v>
      </c>
      <c r="M276" s="86">
        <v>0</v>
      </c>
      <c r="N276" s="260"/>
    </row>
    <row r="277" spans="1:14" ht="21.75" hidden="1" customHeight="1" outlineLevel="1" x14ac:dyDescent="0.25">
      <c r="A277" s="249"/>
      <c r="B277" s="252"/>
      <c r="C277" s="254"/>
      <c r="D277" s="255"/>
      <c r="E277" s="255"/>
      <c r="F277" s="85" t="s">
        <v>17</v>
      </c>
      <c r="G277" s="86">
        <f>H277+I277+J277+K277+M277</f>
        <v>0</v>
      </c>
      <c r="H277" s="86">
        <v>0</v>
      </c>
      <c r="I277" s="86">
        <v>0</v>
      </c>
      <c r="J277" s="86">
        <v>0</v>
      </c>
      <c r="K277" s="86">
        <v>0</v>
      </c>
      <c r="L277" s="86">
        <v>0</v>
      </c>
      <c r="M277" s="86">
        <v>0</v>
      </c>
      <c r="N277" s="260"/>
    </row>
    <row r="278" spans="1:14" ht="21.75" hidden="1" customHeight="1" outlineLevel="1" x14ac:dyDescent="0.25">
      <c r="A278" s="247" t="s">
        <v>108</v>
      </c>
      <c r="B278" s="250" t="s">
        <v>109</v>
      </c>
      <c r="C278" s="253" t="s">
        <v>11</v>
      </c>
      <c r="D278" s="253"/>
      <c r="E278" s="253" t="s">
        <v>153</v>
      </c>
      <c r="F278" s="85" t="s">
        <v>14</v>
      </c>
      <c r="G278" s="86">
        <f t="shared" ref="G278:M278" si="81">G279+G280+G281</f>
        <v>0</v>
      </c>
      <c r="H278" s="86">
        <f t="shared" si="81"/>
        <v>0</v>
      </c>
      <c r="I278" s="86">
        <f t="shared" si="81"/>
        <v>0</v>
      </c>
      <c r="J278" s="86">
        <f t="shared" si="81"/>
        <v>0</v>
      </c>
      <c r="K278" s="86">
        <f t="shared" si="81"/>
        <v>0</v>
      </c>
      <c r="L278" s="86">
        <f>L279+L280+L281</f>
        <v>0</v>
      </c>
      <c r="M278" s="86">
        <f t="shared" si="81"/>
        <v>0</v>
      </c>
      <c r="N278" s="260"/>
    </row>
    <row r="279" spans="1:14" ht="21.75" hidden="1" customHeight="1" outlineLevel="1" x14ac:dyDescent="0.25">
      <c r="A279" s="248"/>
      <c r="B279" s="251"/>
      <c r="C279" s="254"/>
      <c r="D279" s="254"/>
      <c r="E279" s="254"/>
      <c r="F279" s="85" t="s">
        <v>15</v>
      </c>
      <c r="G279" s="86">
        <f>H279+I279+J279+K279+M279</f>
        <v>0</v>
      </c>
      <c r="H279" s="86">
        <v>0</v>
      </c>
      <c r="I279" s="86">
        <v>0</v>
      </c>
      <c r="J279" s="86">
        <v>0</v>
      </c>
      <c r="K279" s="86">
        <v>0</v>
      </c>
      <c r="L279" s="86">
        <v>0</v>
      </c>
      <c r="M279" s="86">
        <v>0</v>
      </c>
      <c r="N279" s="260"/>
    </row>
    <row r="280" spans="1:14" ht="21.75" hidden="1" customHeight="1" outlineLevel="1" x14ac:dyDescent="0.25">
      <c r="A280" s="248"/>
      <c r="B280" s="251"/>
      <c r="C280" s="254"/>
      <c r="D280" s="254"/>
      <c r="E280" s="254"/>
      <c r="F280" s="85" t="s">
        <v>16</v>
      </c>
      <c r="G280" s="86">
        <f>H280+I280+J280+K280+M280</f>
        <v>0</v>
      </c>
      <c r="H280" s="86">
        <v>0</v>
      </c>
      <c r="I280" s="86">
        <v>0</v>
      </c>
      <c r="J280" s="86">
        <v>0</v>
      </c>
      <c r="K280" s="86">
        <v>0</v>
      </c>
      <c r="L280" s="86">
        <v>0</v>
      </c>
      <c r="M280" s="86">
        <v>0</v>
      </c>
      <c r="N280" s="260"/>
    </row>
    <row r="281" spans="1:14" ht="21.75" hidden="1" customHeight="1" outlineLevel="1" x14ac:dyDescent="0.25">
      <c r="A281" s="249"/>
      <c r="B281" s="252"/>
      <c r="C281" s="254"/>
      <c r="D281" s="255"/>
      <c r="E281" s="255"/>
      <c r="F281" s="85" t="s">
        <v>17</v>
      </c>
      <c r="G281" s="86">
        <f>H281+I281+J281+K281+M281</f>
        <v>0</v>
      </c>
      <c r="H281" s="86">
        <v>0</v>
      </c>
      <c r="I281" s="86">
        <v>0</v>
      </c>
      <c r="J281" s="86">
        <v>0</v>
      </c>
      <c r="K281" s="86">
        <v>0</v>
      </c>
      <c r="L281" s="86">
        <v>0</v>
      </c>
      <c r="M281" s="86">
        <v>0</v>
      </c>
      <c r="N281" s="260"/>
    </row>
    <row r="282" spans="1:14" ht="21.75" hidden="1" customHeight="1" outlineLevel="1" x14ac:dyDescent="0.25">
      <c r="A282" s="106"/>
      <c r="B282" s="250" t="s">
        <v>110</v>
      </c>
      <c r="C282" s="253" t="s">
        <v>11</v>
      </c>
      <c r="D282" s="253"/>
      <c r="E282" s="253" t="s">
        <v>153</v>
      </c>
      <c r="F282" s="85" t="s">
        <v>14</v>
      </c>
      <c r="G282" s="86">
        <f t="shared" ref="G282:M282" si="82">G283+G284+G285</f>
        <v>0</v>
      </c>
      <c r="H282" s="86">
        <f t="shared" si="82"/>
        <v>0</v>
      </c>
      <c r="I282" s="86">
        <f t="shared" si="82"/>
        <v>0</v>
      </c>
      <c r="J282" s="86">
        <f t="shared" si="82"/>
        <v>0</v>
      </c>
      <c r="K282" s="86">
        <f t="shared" si="82"/>
        <v>0</v>
      </c>
      <c r="L282" s="86">
        <f>L283+L284+L285</f>
        <v>0</v>
      </c>
      <c r="M282" s="86">
        <f t="shared" si="82"/>
        <v>0</v>
      </c>
      <c r="N282" s="260"/>
    </row>
    <row r="283" spans="1:14" ht="21.75" hidden="1" customHeight="1" outlineLevel="1" x14ac:dyDescent="0.25">
      <c r="A283" s="106" t="s">
        <v>111</v>
      </c>
      <c r="B283" s="251"/>
      <c r="C283" s="254"/>
      <c r="D283" s="254"/>
      <c r="E283" s="254"/>
      <c r="F283" s="85" t="s">
        <v>15</v>
      </c>
      <c r="G283" s="94">
        <f>H283+I283+J283+K283+M283</f>
        <v>0</v>
      </c>
      <c r="H283" s="86">
        <v>0</v>
      </c>
      <c r="I283" s="86">
        <v>0</v>
      </c>
      <c r="J283" s="86">
        <v>0</v>
      </c>
      <c r="K283" s="86">
        <v>0</v>
      </c>
      <c r="L283" s="86">
        <v>0</v>
      </c>
      <c r="M283" s="86">
        <v>0</v>
      </c>
      <c r="N283" s="260"/>
    </row>
    <row r="284" spans="1:14" ht="21.75" hidden="1" customHeight="1" outlineLevel="1" x14ac:dyDescent="0.25">
      <c r="A284" s="106"/>
      <c r="B284" s="251"/>
      <c r="C284" s="254"/>
      <c r="D284" s="254"/>
      <c r="E284" s="254"/>
      <c r="F284" s="85" t="s">
        <v>16</v>
      </c>
      <c r="G284" s="94">
        <f>H284+I284+J284+K284+M284</f>
        <v>0</v>
      </c>
      <c r="H284" s="86">
        <v>0</v>
      </c>
      <c r="I284" s="86">
        <v>0</v>
      </c>
      <c r="J284" s="86">
        <v>0</v>
      </c>
      <c r="K284" s="86">
        <v>0</v>
      </c>
      <c r="L284" s="86">
        <v>0</v>
      </c>
      <c r="M284" s="86">
        <v>0</v>
      </c>
      <c r="N284" s="260"/>
    </row>
    <row r="285" spans="1:14" ht="21.75" hidden="1" customHeight="1" outlineLevel="1" x14ac:dyDescent="0.25">
      <c r="A285" s="106"/>
      <c r="B285" s="252"/>
      <c r="C285" s="254"/>
      <c r="D285" s="255"/>
      <c r="E285" s="255"/>
      <c r="F285" s="85" t="s">
        <v>17</v>
      </c>
      <c r="G285" s="94">
        <f>H285+I285+J285+K285+M285</f>
        <v>0</v>
      </c>
      <c r="H285" s="86">
        <v>0</v>
      </c>
      <c r="I285" s="86">
        <v>0</v>
      </c>
      <c r="J285" s="86">
        <v>0</v>
      </c>
      <c r="K285" s="86">
        <v>0</v>
      </c>
      <c r="L285" s="86">
        <v>0</v>
      </c>
      <c r="M285" s="86">
        <v>0</v>
      </c>
      <c r="N285" s="261"/>
    </row>
    <row r="286" spans="1:14" ht="21.75" customHeight="1" collapsed="1" x14ac:dyDescent="0.25">
      <c r="A286" s="238">
        <v>5</v>
      </c>
      <c r="B286" s="241" t="s">
        <v>139</v>
      </c>
      <c r="C286" s="244" t="s">
        <v>11</v>
      </c>
      <c r="D286" s="98"/>
      <c r="E286" s="244" t="s">
        <v>153</v>
      </c>
      <c r="F286" s="79" t="s">
        <v>14</v>
      </c>
      <c r="G286" s="80">
        <f>G287+G288+G289</f>
        <v>81305857.289999992</v>
      </c>
      <c r="H286" s="80">
        <f t="shared" ref="H286:M286" si="83">H287+H288+H289</f>
        <v>13370422.130000001</v>
      </c>
      <c r="I286" s="80">
        <f t="shared" si="83"/>
        <v>13699325.029999999</v>
      </c>
      <c r="J286" s="80">
        <f t="shared" si="83"/>
        <v>14738271</v>
      </c>
      <c r="K286" s="80">
        <f t="shared" si="83"/>
        <v>19001218.359999999</v>
      </c>
      <c r="L286" s="80">
        <f>L287+L288+L289</f>
        <v>19734258.760000002</v>
      </c>
      <c r="M286" s="80">
        <f t="shared" si="83"/>
        <v>20496620.77</v>
      </c>
      <c r="N286" s="108"/>
    </row>
    <row r="287" spans="1:14" ht="21.75" customHeight="1" x14ac:dyDescent="0.25">
      <c r="A287" s="239"/>
      <c r="B287" s="242"/>
      <c r="C287" s="245"/>
      <c r="D287" s="100"/>
      <c r="E287" s="245"/>
      <c r="F287" s="79" t="s">
        <v>133</v>
      </c>
      <c r="G287" s="80">
        <f>H287+I287+J287+K287+M287</f>
        <v>81305857.289999992</v>
      </c>
      <c r="H287" s="80">
        <f t="shared" ref="H287:M289" si="84">H291</f>
        <v>13370422.130000001</v>
      </c>
      <c r="I287" s="80">
        <f t="shared" si="84"/>
        <v>13699325.029999999</v>
      </c>
      <c r="J287" s="80">
        <f t="shared" si="84"/>
        <v>14738271</v>
      </c>
      <c r="K287" s="80">
        <f t="shared" si="84"/>
        <v>19001218.359999999</v>
      </c>
      <c r="L287" s="80">
        <f t="shared" si="84"/>
        <v>19734258.760000002</v>
      </c>
      <c r="M287" s="80">
        <f t="shared" si="84"/>
        <v>20496620.77</v>
      </c>
      <c r="N287" s="108"/>
    </row>
    <row r="288" spans="1:14" ht="21.75" customHeight="1" x14ac:dyDescent="0.25">
      <c r="A288" s="239"/>
      <c r="B288" s="242"/>
      <c r="C288" s="245"/>
      <c r="D288" s="100"/>
      <c r="E288" s="245"/>
      <c r="F288" s="79" t="s">
        <v>16</v>
      </c>
      <c r="G288" s="80">
        <f>H288+I288+J288+K288+M288</f>
        <v>0</v>
      </c>
      <c r="H288" s="80">
        <f t="shared" si="84"/>
        <v>0</v>
      </c>
      <c r="I288" s="80">
        <f t="shared" si="84"/>
        <v>0</v>
      </c>
      <c r="J288" s="80">
        <f t="shared" si="84"/>
        <v>0</v>
      </c>
      <c r="K288" s="80">
        <f t="shared" si="84"/>
        <v>0</v>
      </c>
      <c r="L288" s="80">
        <f>L292</f>
        <v>0</v>
      </c>
      <c r="M288" s="80">
        <f t="shared" si="84"/>
        <v>0</v>
      </c>
      <c r="N288" s="108"/>
    </row>
    <row r="289" spans="1:14" ht="21.75" customHeight="1" x14ac:dyDescent="0.25">
      <c r="A289" s="240"/>
      <c r="B289" s="243"/>
      <c r="C289" s="246"/>
      <c r="D289" s="101"/>
      <c r="E289" s="246"/>
      <c r="F289" s="79" t="s">
        <v>17</v>
      </c>
      <c r="G289" s="80">
        <f>H289+I289+J289+K289+M289</f>
        <v>0</v>
      </c>
      <c r="H289" s="80">
        <f t="shared" si="84"/>
        <v>0</v>
      </c>
      <c r="I289" s="80">
        <f t="shared" si="84"/>
        <v>0</v>
      </c>
      <c r="J289" s="80">
        <f t="shared" si="84"/>
        <v>0</v>
      </c>
      <c r="K289" s="80">
        <f t="shared" si="84"/>
        <v>0</v>
      </c>
      <c r="L289" s="80">
        <f>L293</f>
        <v>0</v>
      </c>
      <c r="M289" s="80">
        <f t="shared" si="84"/>
        <v>0</v>
      </c>
      <c r="N289" s="108"/>
    </row>
    <row r="290" spans="1:14" ht="21.75" customHeight="1" x14ac:dyDescent="0.25">
      <c r="A290" s="247" t="s">
        <v>18</v>
      </c>
      <c r="B290" s="250" t="s">
        <v>140</v>
      </c>
      <c r="C290" s="253" t="s">
        <v>11</v>
      </c>
      <c r="D290" s="253" t="s">
        <v>113</v>
      </c>
      <c r="E290" s="253" t="s">
        <v>153</v>
      </c>
      <c r="F290" s="85" t="s">
        <v>14</v>
      </c>
      <c r="G290" s="86">
        <f t="shared" ref="G290:M290" si="85">G291+G292+G293</f>
        <v>81305857.289999992</v>
      </c>
      <c r="H290" s="86">
        <f t="shared" si="85"/>
        <v>13370422.130000001</v>
      </c>
      <c r="I290" s="86">
        <f t="shared" si="85"/>
        <v>13699325.029999999</v>
      </c>
      <c r="J290" s="86">
        <f t="shared" si="85"/>
        <v>14738271</v>
      </c>
      <c r="K290" s="86">
        <f t="shared" si="85"/>
        <v>19001218.359999999</v>
      </c>
      <c r="L290" s="86">
        <f>L291+L292+L293</f>
        <v>19734258.760000002</v>
      </c>
      <c r="M290" s="86">
        <f t="shared" si="85"/>
        <v>20496620.77</v>
      </c>
      <c r="N290" s="258" t="s">
        <v>114</v>
      </c>
    </row>
    <row r="291" spans="1:14" ht="21.75" customHeight="1" x14ac:dyDescent="0.25">
      <c r="A291" s="248"/>
      <c r="B291" s="251"/>
      <c r="C291" s="254"/>
      <c r="D291" s="254"/>
      <c r="E291" s="254"/>
      <c r="F291" s="85" t="s">
        <v>133</v>
      </c>
      <c r="G291" s="86">
        <f>H291+I291+J291+K291+M291</f>
        <v>81305857.289999992</v>
      </c>
      <c r="H291" s="86">
        <f>13390422.13-20000</f>
        <v>13370422.130000001</v>
      </c>
      <c r="I291" s="86">
        <v>13699325.029999999</v>
      </c>
      <c r="J291" s="87">
        <f>14153616+449044+135611</f>
        <v>14738271</v>
      </c>
      <c r="K291" s="86">
        <v>19001218.359999999</v>
      </c>
      <c r="L291" s="86">
        <v>19734258.760000002</v>
      </c>
      <c r="M291" s="86">
        <v>20496620.77</v>
      </c>
      <c r="N291" s="259"/>
    </row>
    <row r="292" spans="1:14" ht="21.75" customHeight="1" x14ac:dyDescent="0.25">
      <c r="A292" s="248"/>
      <c r="B292" s="251"/>
      <c r="C292" s="254"/>
      <c r="D292" s="254"/>
      <c r="E292" s="254"/>
      <c r="F292" s="85" t="s">
        <v>16</v>
      </c>
      <c r="G292" s="86">
        <f>H292+I292+J292+K292+M292</f>
        <v>0</v>
      </c>
      <c r="H292" s="86">
        <v>0</v>
      </c>
      <c r="I292" s="86">
        <v>0</v>
      </c>
      <c r="J292" s="86">
        <v>0</v>
      </c>
      <c r="K292" s="86">
        <v>0</v>
      </c>
      <c r="L292" s="86">
        <v>0</v>
      </c>
      <c r="M292" s="86">
        <v>0</v>
      </c>
      <c r="N292" s="259"/>
    </row>
    <row r="293" spans="1:14" ht="21.75" customHeight="1" x14ac:dyDescent="0.25">
      <c r="A293" s="249"/>
      <c r="B293" s="252"/>
      <c r="C293" s="255"/>
      <c r="D293" s="255"/>
      <c r="E293" s="255"/>
      <c r="F293" s="85" t="s">
        <v>17</v>
      </c>
      <c r="G293" s="86">
        <f>H293+I293+J293+K293+M293</f>
        <v>0</v>
      </c>
      <c r="H293" s="86">
        <v>0</v>
      </c>
      <c r="I293" s="86">
        <v>0</v>
      </c>
      <c r="J293" s="86">
        <v>0</v>
      </c>
      <c r="K293" s="86">
        <v>0</v>
      </c>
      <c r="L293" s="86">
        <v>0</v>
      </c>
      <c r="M293" s="86">
        <v>0</v>
      </c>
      <c r="N293" s="259"/>
    </row>
    <row r="294" spans="1:14" ht="23.25" hidden="1" customHeight="1" outlineLevel="1" x14ac:dyDescent="0.25">
      <c r="A294" s="238">
        <v>6</v>
      </c>
      <c r="B294" s="241" t="s">
        <v>123</v>
      </c>
      <c r="C294" s="244" t="s">
        <v>11</v>
      </c>
      <c r="D294" s="98"/>
      <c r="E294" s="244" t="s">
        <v>13</v>
      </c>
      <c r="F294" s="79" t="s">
        <v>14</v>
      </c>
      <c r="G294" s="80">
        <f t="shared" ref="G294:M294" si="86">G295+G296+G297</f>
        <v>0</v>
      </c>
      <c r="H294" s="80">
        <f t="shared" si="86"/>
        <v>0</v>
      </c>
      <c r="I294" s="80">
        <f t="shared" si="86"/>
        <v>0</v>
      </c>
      <c r="J294" s="80">
        <f t="shared" si="86"/>
        <v>0</v>
      </c>
      <c r="K294" s="80">
        <f t="shared" si="86"/>
        <v>0</v>
      </c>
      <c r="L294" s="80">
        <f>L295+L296+L297</f>
        <v>0</v>
      </c>
      <c r="M294" s="80">
        <f t="shared" si="86"/>
        <v>0</v>
      </c>
      <c r="N294" s="108"/>
    </row>
    <row r="295" spans="1:14" ht="23.25" hidden="1" customHeight="1" outlineLevel="1" x14ac:dyDescent="0.25">
      <c r="A295" s="239"/>
      <c r="B295" s="256"/>
      <c r="C295" s="245"/>
      <c r="D295" s="100"/>
      <c r="E295" s="245"/>
      <c r="F295" s="79" t="s">
        <v>15</v>
      </c>
      <c r="G295" s="80">
        <f>H295+I295+J295+K295+M295</f>
        <v>0</v>
      </c>
      <c r="H295" s="80">
        <f t="shared" ref="H295:M297" si="87">H299</f>
        <v>0</v>
      </c>
      <c r="I295" s="80">
        <f t="shared" si="87"/>
        <v>0</v>
      </c>
      <c r="J295" s="80">
        <f t="shared" si="87"/>
        <v>0</v>
      </c>
      <c r="K295" s="80">
        <f t="shared" si="87"/>
        <v>0</v>
      </c>
      <c r="L295" s="80">
        <f>L299</f>
        <v>0</v>
      </c>
      <c r="M295" s="80">
        <f t="shared" si="87"/>
        <v>0</v>
      </c>
      <c r="N295" s="108"/>
    </row>
    <row r="296" spans="1:14" ht="23.25" hidden="1" customHeight="1" outlineLevel="1" x14ac:dyDescent="0.25">
      <c r="A296" s="239"/>
      <c r="B296" s="256"/>
      <c r="C296" s="245"/>
      <c r="D296" s="100"/>
      <c r="E296" s="245"/>
      <c r="F296" s="79" t="s">
        <v>16</v>
      </c>
      <c r="G296" s="80">
        <f>H296+I296+J296+K296+M296</f>
        <v>0</v>
      </c>
      <c r="H296" s="80">
        <f t="shared" si="87"/>
        <v>0</v>
      </c>
      <c r="I296" s="80">
        <f t="shared" si="87"/>
        <v>0</v>
      </c>
      <c r="J296" s="80">
        <f t="shared" si="87"/>
        <v>0</v>
      </c>
      <c r="K296" s="80">
        <f t="shared" si="87"/>
        <v>0</v>
      </c>
      <c r="L296" s="80">
        <f>L300</f>
        <v>0</v>
      </c>
      <c r="M296" s="80">
        <f t="shared" si="87"/>
        <v>0</v>
      </c>
      <c r="N296" s="108"/>
    </row>
    <row r="297" spans="1:14" ht="27" hidden="1" customHeight="1" outlineLevel="1" x14ac:dyDescent="0.25">
      <c r="A297" s="240"/>
      <c r="B297" s="257"/>
      <c r="C297" s="246"/>
      <c r="D297" s="101"/>
      <c r="E297" s="246"/>
      <c r="F297" s="79" t="s">
        <v>17</v>
      </c>
      <c r="G297" s="80">
        <f>H297+I297+J297+K297+M297</f>
        <v>0</v>
      </c>
      <c r="H297" s="80">
        <f t="shared" si="87"/>
        <v>0</v>
      </c>
      <c r="I297" s="80">
        <f t="shared" si="87"/>
        <v>0</v>
      </c>
      <c r="J297" s="80">
        <f t="shared" si="87"/>
        <v>0</v>
      </c>
      <c r="K297" s="80">
        <f t="shared" si="87"/>
        <v>0</v>
      </c>
      <c r="L297" s="80">
        <f>L301</f>
        <v>0</v>
      </c>
      <c r="M297" s="80">
        <f t="shared" si="87"/>
        <v>0</v>
      </c>
      <c r="N297" s="108"/>
    </row>
    <row r="298" spans="1:14" ht="21.75" hidden="1" customHeight="1" outlineLevel="1" x14ac:dyDescent="0.25">
      <c r="A298" s="247" t="s">
        <v>124</v>
      </c>
      <c r="B298" s="250" t="s">
        <v>125</v>
      </c>
      <c r="C298" s="253" t="s">
        <v>11</v>
      </c>
      <c r="D298" s="253" t="s">
        <v>113</v>
      </c>
      <c r="E298" s="253" t="s">
        <v>13</v>
      </c>
      <c r="F298" s="85" t="s">
        <v>14</v>
      </c>
      <c r="G298" s="86">
        <f t="shared" ref="G298:M298" si="88">G299+G300+G301</f>
        <v>0</v>
      </c>
      <c r="H298" s="86">
        <f t="shared" si="88"/>
        <v>0</v>
      </c>
      <c r="I298" s="86">
        <f t="shared" si="88"/>
        <v>0</v>
      </c>
      <c r="J298" s="86">
        <f t="shared" si="88"/>
        <v>0</v>
      </c>
      <c r="K298" s="86">
        <f t="shared" si="88"/>
        <v>0</v>
      </c>
      <c r="L298" s="86">
        <f>L299+L300+L301</f>
        <v>0</v>
      </c>
      <c r="M298" s="86">
        <f t="shared" si="88"/>
        <v>0</v>
      </c>
      <c r="N298" s="236" t="s">
        <v>126</v>
      </c>
    </row>
    <row r="299" spans="1:14" ht="21.75" hidden="1" customHeight="1" outlineLevel="1" x14ac:dyDescent="0.25">
      <c r="A299" s="248"/>
      <c r="B299" s="251"/>
      <c r="C299" s="254"/>
      <c r="D299" s="254"/>
      <c r="E299" s="254"/>
      <c r="F299" s="85" t="s">
        <v>15</v>
      </c>
      <c r="G299" s="86">
        <f>H299+I299+J299+K299+M299</f>
        <v>0</v>
      </c>
      <c r="H299" s="86">
        <v>0</v>
      </c>
      <c r="I299" s="86">
        <v>0</v>
      </c>
      <c r="J299" s="86">
        <v>0</v>
      </c>
      <c r="K299" s="86">
        <v>0</v>
      </c>
      <c r="L299" s="86">
        <v>0</v>
      </c>
      <c r="M299" s="86">
        <v>0</v>
      </c>
      <c r="N299" s="237"/>
    </row>
    <row r="300" spans="1:14" ht="21.75" hidden="1" customHeight="1" outlineLevel="1" x14ac:dyDescent="0.25">
      <c r="A300" s="248"/>
      <c r="B300" s="251"/>
      <c r="C300" s="254"/>
      <c r="D300" s="254"/>
      <c r="E300" s="254"/>
      <c r="F300" s="85" t="s">
        <v>16</v>
      </c>
      <c r="G300" s="86">
        <f>H300+I300+J300+K300+M300</f>
        <v>0</v>
      </c>
      <c r="H300" s="86">
        <v>0</v>
      </c>
      <c r="I300" s="86">
        <v>0</v>
      </c>
      <c r="J300" s="86">
        <v>0</v>
      </c>
      <c r="K300" s="86">
        <v>0</v>
      </c>
      <c r="L300" s="86">
        <v>0</v>
      </c>
      <c r="M300" s="86">
        <v>0</v>
      </c>
      <c r="N300" s="237"/>
    </row>
    <row r="301" spans="1:14" ht="21.75" hidden="1" customHeight="1" outlineLevel="1" x14ac:dyDescent="0.25">
      <c r="A301" s="249"/>
      <c r="B301" s="252"/>
      <c r="C301" s="255"/>
      <c r="D301" s="255"/>
      <c r="E301" s="255"/>
      <c r="F301" s="85" t="s">
        <v>17</v>
      </c>
      <c r="G301" s="86">
        <f>H301+I301+J301+K301+M301</f>
        <v>0</v>
      </c>
      <c r="H301" s="86">
        <v>0</v>
      </c>
      <c r="I301" s="86">
        <v>0</v>
      </c>
      <c r="J301" s="86">
        <v>0</v>
      </c>
      <c r="K301" s="86">
        <v>0</v>
      </c>
      <c r="L301" s="86">
        <v>0</v>
      </c>
      <c r="M301" s="86">
        <v>0</v>
      </c>
      <c r="N301" s="237"/>
    </row>
    <row r="302" spans="1:14" ht="21.75" hidden="1" customHeight="1" outlineLevel="1" x14ac:dyDescent="0.25">
      <c r="A302" s="238">
        <v>7</v>
      </c>
      <c r="B302" s="241" t="s">
        <v>127</v>
      </c>
      <c r="C302" s="244" t="s">
        <v>11</v>
      </c>
      <c r="D302" s="98"/>
      <c r="E302" s="244" t="s">
        <v>13</v>
      </c>
      <c r="F302" s="79" t="s">
        <v>14</v>
      </c>
      <c r="G302" s="80">
        <f t="shared" ref="G302:M302" si="89">G303+G304+G305</f>
        <v>0</v>
      </c>
      <c r="H302" s="80">
        <f t="shared" si="89"/>
        <v>0</v>
      </c>
      <c r="I302" s="80">
        <f t="shared" si="89"/>
        <v>0</v>
      </c>
      <c r="J302" s="80">
        <f t="shared" si="89"/>
        <v>0</v>
      </c>
      <c r="K302" s="80">
        <f t="shared" si="89"/>
        <v>0</v>
      </c>
      <c r="L302" s="80">
        <f>L303+L304+L305</f>
        <v>0</v>
      </c>
      <c r="M302" s="80">
        <f t="shared" si="89"/>
        <v>0</v>
      </c>
      <c r="N302" s="108"/>
    </row>
    <row r="303" spans="1:14" ht="21.75" hidden="1" customHeight="1" outlineLevel="1" x14ac:dyDescent="0.25">
      <c r="A303" s="239"/>
      <c r="B303" s="242"/>
      <c r="C303" s="245"/>
      <c r="D303" s="100"/>
      <c r="E303" s="245"/>
      <c r="F303" s="79" t="s">
        <v>15</v>
      </c>
      <c r="G303" s="80">
        <f>H303+I303+J303+K303+M303</f>
        <v>0</v>
      </c>
      <c r="H303" s="80">
        <f t="shared" ref="H303:M305" si="90">H307</f>
        <v>0</v>
      </c>
      <c r="I303" s="80">
        <f t="shared" si="90"/>
        <v>0</v>
      </c>
      <c r="J303" s="80">
        <f t="shared" si="90"/>
        <v>0</v>
      </c>
      <c r="K303" s="80">
        <f t="shared" si="90"/>
        <v>0</v>
      </c>
      <c r="L303" s="80">
        <f>L307</f>
        <v>0</v>
      </c>
      <c r="M303" s="80">
        <f t="shared" si="90"/>
        <v>0</v>
      </c>
      <c r="N303" s="108"/>
    </row>
    <row r="304" spans="1:14" ht="21.75" hidden="1" customHeight="1" outlineLevel="1" x14ac:dyDescent="0.25">
      <c r="A304" s="239"/>
      <c r="B304" s="242"/>
      <c r="C304" s="245"/>
      <c r="D304" s="100"/>
      <c r="E304" s="245"/>
      <c r="F304" s="79" t="s">
        <v>16</v>
      </c>
      <c r="G304" s="80">
        <f>H304+I304+J304+K304+M304</f>
        <v>0</v>
      </c>
      <c r="H304" s="80">
        <f t="shared" si="90"/>
        <v>0</v>
      </c>
      <c r="I304" s="80">
        <f t="shared" si="90"/>
        <v>0</v>
      </c>
      <c r="J304" s="80">
        <f t="shared" si="90"/>
        <v>0</v>
      </c>
      <c r="K304" s="80">
        <f t="shared" si="90"/>
        <v>0</v>
      </c>
      <c r="L304" s="80">
        <f>L308</f>
        <v>0</v>
      </c>
      <c r="M304" s="80">
        <f t="shared" si="90"/>
        <v>0</v>
      </c>
      <c r="N304" s="108"/>
    </row>
    <row r="305" spans="1:41" ht="21.75" hidden="1" customHeight="1" outlineLevel="1" x14ac:dyDescent="0.25">
      <c r="A305" s="240"/>
      <c r="B305" s="243"/>
      <c r="C305" s="246"/>
      <c r="D305" s="101"/>
      <c r="E305" s="246"/>
      <c r="F305" s="79" t="s">
        <v>17</v>
      </c>
      <c r="G305" s="80">
        <f>H305+I305+J305+K305+M305</f>
        <v>0</v>
      </c>
      <c r="H305" s="80">
        <f t="shared" si="90"/>
        <v>0</v>
      </c>
      <c r="I305" s="80">
        <f t="shared" si="90"/>
        <v>0</v>
      </c>
      <c r="J305" s="80">
        <f t="shared" si="90"/>
        <v>0</v>
      </c>
      <c r="K305" s="80">
        <f t="shared" si="90"/>
        <v>0</v>
      </c>
      <c r="L305" s="80">
        <f>L309</f>
        <v>0</v>
      </c>
      <c r="M305" s="80">
        <f t="shared" si="90"/>
        <v>0</v>
      </c>
      <c r="N305" s="108"/>
    </row>
    <row r="306" spans="1:41" ht="30.75" hidden="1" customHeight="1" outlineLevel="1" x14ac:dyDescent="0.25">
      <c r="A306" s="247" t="s">
        <v>128</v>
      </c>
      <c r="B306" s="250" t="s">
        <v>129</v>
      </c>
      <c r="C306" s="253" t="s">
        <v>11</v>
      </c>
      <c r="D306" s="253" t="s">
        <v>113</v>
      </c>
      <c r="E306" s="253" t="s">
        <v>13</v>
      </c>
      <c r="F306" s="85" t="s">
        <v>14</v>
      </c>
      <c r="G306" s="86">
        <f t="shared" ref="G306:M306" si="91">G307+G308+G309</f>
        <v>0</v>
      </c>
      <c r="H306" s="86">
        <f t="shared" si="91"/>
        <v>0</v>
      </c>
      <c r="I306" s="86">
        <f t="shared" si="91"/>
        <v>0</v>
      </c>
      <c r="J306" s="86">
        <f t="shared" si="91"/>
        <v>0</v>
      </c>
      <c r="K306" s="86">
        <f t="shared" si="91"/>
        <v>0</v>
      </c>
      <c r="L306" s="86">
        <f>L307+L308+L309</f>
        <v>0</v>
      </c>
      <c r="M306" s="86">
        <f t="shared" si="91"/>
        <v>0</v>
      </c>
      <c r="N306" s="222" t="s">
        <v>130</v>
      </c>
    </row>
    <row r="307" spans="1:41" ht="30.75" hidden="1" customHeight="1" outlineLevel="1" x14ac:dyDescent="0.25">
      <c r="A307" s="248"/>
      <c r="B307" s="251"/>
      <c r="C307" s="254"/>
      <c r="D307" s="254"/>
      <c r="E307" s="254"/>
      <c r="F307" s="85" t="s">
        <v>15</v>
      </c>
      <c r="G307" s="86">
        <f>H307+I307+J307+K307+M307</f>
        <v>0</v>
      </c>
      <c r="H307" s="86">
        <v>0</v>
      </c>
      <c r="I307" s="86">
        <v>0</v>
      </c>
      <c r="J307" s="86">
        <v>0</v>
      </c>
      <c r="K307" s="86">
        <v>0</v>
      </c>
      <c r="L307" s="86">
        <v>0</v>
      </c>
      <c r="M307" s="86">
        <v>0</v>
      </c>
      <c r="N307" s="223"/>
    </row>
    <row r="308" spans="1:41" ht="30.75" hidden="1" customHeight="1" outlineLevel="1" x14ac:dyDescent="0.25">
      <c r="A308" s="248"/>
      <c r="B308" s="251"/>
      <c r="C308" s="254"/>
      <c r="D308" s="254"/>
      <c r="E308" s="254"/>
      <c r="F308" s="85" t="s">
        <v>16</v>
      </c>
      <c r="G308" s="86">
        <f>H308+I308+J308+K308+M308</f>
        <v>0</v>
      </c>
      <c r="H308" s="86">
        <v>0</v>
      </c>
      <c r="I308" s="86">
        <v>0</v>
      </c>
      <c r="J308" s="86">
        <v>0</v>
      </c>
      <c r="K308" s="86">
        <v>0</v>
      </c>
      <c r="L308" s="86">
        <v>0</v>
      </c>
      <c r="M308" s="86">
        <v>0</v>
      </c>
      <c r="N308" s="223"/>
    </row>
    <row r="309" spans="1:41" ht="30.75" hidden="1" customHeight="1" outlineLevel="1" x14ac:dyDescent="0.25">
      <c r="A309" s="249"/>
      <c r="B309" s="252"/>
      <c r="C309" s="255"/>
      <c r="D309" s="255"/>
      <c r="E309" s="255"/>
      <c r="F309" s="85" t="s">
        <v>17</v>
      </c>
      <c r="G309" s="86">
        <f>H309+I309+J309+K309+M309</f>
        <v>0</v>
      </c>
      <c r="H309" s="86">
        <v>0</v>
      </c>
      <c r="I309" s="86">
        <v>0</v>
      </c>
      <c r="J309" s="86">
        <v>0</v>
      </c>
      <c r="K309" s="86">
        <v>0</v>
      </c>
      <c r="L309" s="86">
        <v>0</v>
      </c>
      <c r="M309" s="86">
        <v>0</v>
      </c>
      <c r="N309" s="223"/>
    </row>
    <row r="310" spans="1:41" ht="21.75" customHeight="1" collapsed="1" x14ac:dyDescent="0.25">
      <c r="A310" s="224" t="s">
        <v>115</v>
      </c>
      <c r="B310" s="227" t="s">
        <v>116</v>
      </c>
      <c r="C310" s="228"/>
      <c r="D310" s="228"/>
      <c r="E310" s="229"/>
      <c r="F310" s="102" t="s">
        <v>14</v>
      </c>
      <c r="G310" s="103">
        <f t="shared" ref="G310:M310" si="92">G311+G312+G313</f>
        <v>5647882889.4300003</v>
      </c>
      <c r="H310" s="103">
        <f t="shared" si="92"/>
        <v>952111245</v>
      </c>
      <c r="I310" s="103">
        <f t="shared" si="92"/>
        <v>1061957868.36</v>
      </c>
      <c r="J310" s="103">
        <f t="shared" si="92"/>
        <v>1249365484.9299998</v>
      </c>
      <c r="K310" s="103">
        <f t="shared" si="92"/>
        <v>1217416999.23</v>
      </c>
      <c r="L310" s="103">
        <f>L311+L312+L313</f>
        <v>1158031957.79</v>
      </c>
      <c r="M310" s="103">
        <f t="shared" si="92"/>
        <v>1167031291.9099998</v>
      </c>
      <c r="N310" s="108"/>
    </row>
    <row r="311" spans="1:41" ht="21.75" customHeight="1" x14ac:dyDescent="0.25">
      <c r="A311" s="225"/>
      <c r="B311" s="230"/>
      <c r="C311" s="231"/>
      <c r="D311" s="231"/>
      <c r="E311" s="232"/>
      <c r="F311" s="102" t="s">
        <v>133</v>
      </c>
      <c r="G311" s="103">
        <f>H311+I311+J311+K311+M311</f>
        <v>1498148570.51</v>
      </c>
      <c r="H311" s="103">
        <f t="shared" ref="H311:M313" si="93">H303+H251+H227+H159+H11+H287+H295</f>
        <v>257261460.34999999</v>
      </c>
      <c r="I311" s="103">
        <f t="shared" si="93"/>
        <v>274006749.57000005</v>
      </c>
      <c r="J311" s="103">
        <f t="shared" si="93"/>
        <v>305893043.46000004</v>
      </c>
      <c r="K311" s="103">
        <f t="shared" si="93"/>
        <v>335932866.72999996</v>
      </c>
      <c r="L311" s="103">
        <f t="shared" si="93"/>
        <v>321802747.78999996</v>
      </c>
      <c r="M311" s="103">
        <f t="shared" si="93"/>
        <v>325054450.39999992</v>
      </c>
      <c r="N311" s="108"/>
    </row>
    <row r="312" spans="1:41" ht="21.75" customHeight="1" x14ac:dyDescent="0.25">
      <c r="A312" s="225"/>
      <c r="B312" s="230"/>
      <c r="C312" s="231"/>
      <c r="D312" s="231"/>
      <c r="E312" s="232"/>
      <c r="F312" s="102" t="s">
        <v>16</v>
      </c>
      <c r="G312" s="103">
        <f>H312+I312+J312+K312+M312</f>
        <v>3759087351.6000004</v>
      </c>
      <c r="H312" s="103">
        <f t="shared" si="93"/>
        <v>674427650.64999998</v>
      </c>
      <c r="I312" s="103">
        <f t="shared" si="93"/>
        <v>721973504.32999992</v>
      </c>
      <c r="J312" s="103">
        <f t="shared" si="93"/>
        <v>762876058.57999992</v>
      </c>
      <c r="K312" s="103">
        <f t="shared" si="93"/>
        <v>804486386.53000009</v>
      </c>
      <c r="L312" s="103">
        <f t="shared" si="93"/>
        <v>788801120</v>
      </c>
      <c r="M312" s="103">
        <f t="shared" si="93"/>
        <v>795323751.50999999</v>
      </c>
      <c r="N312" s="108"/>
    </row>
    <row r="313" spans="1:41" ht="21.75" customHeight="1" x14ac:dyDescent="0.25">
      <c r="A313" s="226"/>
      <c r="B313" s="233"/>
      <c r="C313" s="234"/>
      <c r="D313" s="234"/>
      <c r="E313" s="235"/>
      <c r="F313" s="102" t="s">
        <v>17</v>
      </c>
      <c r="G313" s="103">
        <f>H313+I313+J313+K313+M313</f>
        <v>390646967.31999993</v>
      </c>
      <c r="H313" s="103">
        <f t="shared" si="93"/>
        <v>20422134</v>
      </c>
      <c r="I313" s="103">
        <f t="shared" si="93"/>
        <v>65977614.459999993</v>
      </c>
      <c r="J313" s="103">
        <f t="shared" si="93"/>
        <v>180596382.88999999</v>
      </c>
      <c r="K313" s="103">
        <f t="shared" si="93"/>
        <v>76997745.969999999</v>
      </c>
      <c r="L313" s="103">
        <f t="shared" si="93"/>
        <v>47428090</v>
      </c>
      <c r="M313" s="103">
        <f t="shared" si="93"/>
        <v>46653090</v>
      </c>
      <c r="N313" s="108"/>
    </row>
    <row r="314" spans="1:41" x14ac:dyDescent="0.25">
      <c r="I314" s="104">
        <f>'[12]остатки средств в ФК_9'!$R$101-1600000</f>
        <v>1061957868.36</v>
      </c>
      <c r="J314" s="104">
        <f>'[4]остатки средств в ФК_3'!$R$116</f>
        <v>1249365484.9300001</v>
      </c>
      <c r="K314" s="104">
        <f>'[16]СРБ на план. период_1'!T104</f>
        <v>1217416999.23</v>
      </c>
      <c r="L314" s="104">
        <f>'[16]СРБ на план. период_1'!U104</f>
        <v>1158031957.79</v>
      </c>
      <c r="M314" s="104">
        <f>'[16]СРБ на план. период_1'!V104</f>
        <v>1167031291.9100001</v>
      </c>
    </row>
    <row r="315" spans="1:41" x14ac:dyDescent="0.25">
      <c r="I315" s="104">
        <f>I310-I314</f>
        <v>0</v>
      </c>
      <c r="J315" s="104">
        <f>J310-J314</f>
        <v>0</v>
      </c>
      <c r="K315" s="104">
        <f>K310-K314</f>
        <v>0</v>
      </c>
      <c r="L315" s="104">
        <f>L310-L314</f>
        <v>0</v>
      </c>
      <c r="M315" s="104">
        <f>M310-M314</f>
        <v>0</v>
      </c>
    </row>
    <row r="316" spans="1:41" x14ac:dyDescent="0.25">
      <c r="J316" s="67"/>
      <c r="L316" s="67"/>
      <c r="M316" s="67"/>
    </row>
    <row r="317" spans="1:41" s="60" customFormat="1" x14ac:dyDescent="0.25">
      <c r="A317" s="59"/>
      <c r="B317" s="57"/>
      <c r="C317" s="58"/>
      <c r="D317" s="59"/>
      <c r="E317" s="59"/>
      <c r="F317" s="59"/>
      <c r="I317" s="67"/>
      <c r="N317" s="105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</row>
    <row r="322" spans="10:13" x14ac:dyDescent="0.25">
      <c r="J322" s="67"/>
      <c r="K322" s="67"/>
      <c r="L322" s="67"/>
      <c r="M322" s="67"/>
    </row>
  </sheetData>
  <mergeCells count="405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N162:N225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E166:E169"/>
    <mergeCell ref="A170:A173"/>
    <mergeCell ref="B170:B173"/>
    <mergeCell ref="C170:C173"/>
    <mergeCell ref="D170:D173"/>
    <mergeCell ref="E170:E173"/>
    <mergeCell ref="A162:A165"/>
    <mergeCell ref="B162:B165"/>
    <mergeCell ref="C162:C165"/>
    <mergeCell ref="D162:D165"/>
    <mergeCell ref="E162:E165"/>
    <mergeCell ref="A174:A177"/>
    <mergeCell ref="B174:B177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B214:B217"/>
    <mergeCell ref="C214:C217"/>
    <mergeCell ref="D214:D217"/>
    <mergeCell ref="E214:E217"/>
    <mergeCell ref="A218:A221"/>
    <mergeCell ref="B218:B221"/>
    <mergeCell ref="C218:C221"/>
    <mergeCell ref="D218:D221"/>
    <mergeCell ref="E218:E221"/>
    <mergeCell ref="B222:B225"/>
    <mergeCell ref="C222:C225"/>
    <mergeCell ref="D222:D225"/>
    <mergeCell ref="E222:E225"/>
    <mergeCell ref="N226:N229"/>
    <mergeCell ref="A230:A233"/>
    <mergeCell ref="B230:B233"/>
    <mergeCell ref="C230:C233"/>
    <mergeCell ref="D230:D233"/>
    <mergeCell ref="E230:E233"/>
    <mergeCell ref="N230:N249"/>
    <mergeCell ref="A234:A237"/>
    <mergeCell ref="B234:B237"/>
    <mergeCell ref="C234:C237"/>
    <mergeCell ref="A226:A229"/>
    <mergeCell ref="B226:B229"/>
    <mergeCell ref="C226:C229"/>
    <mergeCell ref="D226:D229"/>
    <mergeCell ref="E226:E229"/>
    <mergeCell ref="D234:D237"/>
    <mergeCell ref="E234:E237"/>
    <mergeCell ref="A238:A241"/>
    <mergeCell ref="B238:B241"/>
    <mergeCell ref="C238:C241"/>
    <mergeCell ref="D238:D241"/>
    <mergeCell ref="E238:E241"/>
    <mergeCell ref="A250:A253"/>
    <mergeCell ref="B250:B253"/>
    <mergeCell ref="C250:C253"/>
    <mergeCell ref="D250:D253"/>
    <mergeCell ref="E250:E253"/>
    <mergeCell ref="N250:N253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E258:E261"/>
    <mergeCell ref="A262:A265"/>
    <mergeCell ref="B262:B265"/>
    <mergeCell ref="C262:C265"/>
    <mergeCell ref="D262:D265"/>
    <mergeCell ref="E262:E265"/>
    <mergeCell ref="A254:A257"/>
    <mergeCell ref="B254:B257"/>
    <mergeCell ref="C254:C257"/>
    <mergeCell ref="D254:D257"/>
    <mergeCell ref="E254:E257"/>
    <mergeCell ref="A258:A261"/>
    <mergeCell ref="B258:B261"/>
    <mergeCell ref="C258:C261"/>
    <mergeCell ref="D258:D261"/>
    <mergeCell ref="E278:E281"/>
    <mergeCell ref="A266:A269"/>
    <mergeCell ref="B266:B269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A290:A293"/>
    <mergeCell ref="B290:B293"/>
    <mergeCell ref="C290:C293"/>
    <mergeCell ref="D290:D293"/>
    <mergeCell ref="E290:E293"/>
    <mergeCell ref="N290:N293"/>
    <mergeCell ref="B282:B285"/>
    <mergeCell ref="C282:C285"/>
    <mergeCell ref="D282:D285"/>
    <mergeCell ref="E282:E285"/>
    <mergeCell ref="A286:A289"/>
    <mergeCell ref="B286:B289"/>
    <mergeCell ref="C286:C289"/>
    <mergeCell ref="E286:E289"/>
    <mergeCell ref="N254:N285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A294:A297"/>
    <mergeCell ref="B294:B297"/>
    <mergeCell ref="C294:C297"/>
    <mergeCell ref="E294:E297"/>
    <mergeCell ref="A298:A301"/>
    <mergeCell ref="B298:B301"/>
    <mergeCell ref="C298:C301"/>
    <mergeCell ref="D298:D301"/>
    <mergeCell ref="E298:E301"/>
    <mergeCell ref="N306:N309"/>
    <mergeCell ref="A310:A313"/>
    <mergeCell ref="B310:E313"/>
    <mergeCell ref="N298:N301"/>
    <mergeCell ref="A302:A305"/>
    <mergeCell ref="B302:B305"/>
    <mergeCell ref="C302:C305"/>
    <mergeCell ref="E302:E305"/>
    <mergeCell ref="A306:A309"/>
    <mergeCell ref="B306:B309"/>
    <mergeCell ref="C306:C309"/>
    <mergeCell ref="D306:D309"/>
    <mergeCell ref="E306:E309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7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322"/>
  <sheetViews>
    <sheetView tabSelected="1" view="pageBreakPreview" zoomScale="80" zoomScaleNormal="100" zoomScaleSheetLayoutView="80" workbookViewId="0">
      <pane xSplit="7" ySplit="8" topLeftCell="I62" activePane="bottomRight" state="frozen"/>
      <selection pane="topRight" activeCell="G1" sqref="G1"/>
      <selection pane="bottomLeft" activeCell="A8" sqref="A8"/>
      <selection pane="bottomRight" activeCell="G226" sqref="G226:M229"/>
    </sheetView>
  </sheetViews>
  <sheetFormatPr defaultRowHeight="16.5" outlineLevelRow="1" outlineLevelCol="1" x14ac:dyDescent="0.25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 x14ac:dyDescent="0.25">
      <c r="A1" s="1"/>
      <c r="K1" s="142" t="s">
        <v>131</v>
      </c>
      <c r="L1" s="142"/>
      <c r="M1" s="142"/>
      <c r="N1" s="142"/>
      <c r="O1" s="3"/>
      <c r="P1" s="3"/>
      <c r="Q1" s="3"/>
    </row>
    <row r="2" spans="1:17" x14ac:dyDescent="0.25">
      <c r="A2" s="1"/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8"/>
      <c r="M2" s="18"/>
      <c r="N2" s="24" t="s">
        <v>159</v>
      </c>
      <c r="O2" s="3"/>
    </row>
    <row r="3" spans="1:17" x14ac:dyDescent="0.25">
      <c r="A3" s="1"/>
      <c r="B3" s="143" t="s">
        <v>1</v>
      </c>
      <c r="C3" s="143"/>
      <c r="D3" s="143"/>
      <c r="E3" s="143"/>
      <c r="F3" s="143"/>
      <c r="G3" s="143"/>
      <c r="H3" s="143"/>
      <c r="I3" s="143"/>
      <c r="J3" s="143"/>
      <c r="K3" s="143"/>
      <c r="L3" s="19"/>
      <c r="M3" s="19"/>
      <c r="N3" s="24" t="s">
        <v>135</v>
      </c>
    </row>
    <row r="4" spans="1:17" ht="15.75" customHeight="1" x14ac:dyDescent="0.25">
      <c r="A4" s="1"/>
      <c r="B4" s="143" t="s">
        <v>134</v>
      </c>
      <c r="C4" s="143"/>
      <c r="D4" s="143"/>
      <c r="E4" s="143"/>
      <c r="F4" s="143"/>
      <c r="G4" s="143"/>
      <c r="H4" s="143"/>
      <c r="I4" s="143"/>
      <c r="J4" s="143"/>
      <c r="K4" s="143"/>
      <c r="L4" s="20"/>
      <c r="M4" s="20"/>
      <c r="N4" s="25"/>
    </row>
    <row r="5" spans="1:17" x14ac:dyDescent="0.25">
      <c r="A5" s="1"/>
      <c r="H5" s="30"/>
      <c r="I5" s="33">
        <f t="shared" ref="I5:J5" si="0">I20+I40+I44+I48+I52+I96+I104+I116</f>
        <v>628554600</v>
      </c>
      <c r="J5" s="33">
        <f t="shared" si="0"/>
        <v>651853900</v>
      </c>
      <c r="K5" s="33">
        <f>K20+K40+K44+K48+K52+K96+K104+K116</f>
        <v>693763300.00000012</v>
      </c>
      <c r="L5" s="33">
        <f t="shared" ref="L5:M5" si="1">L20+L40+L44+L48+L52+L96+L104+L116</f>
        <v>715126400</v>
      </c>
      <c r="M5" s="33">
        <f t="shared" si="1"/>
        <v>730443300</v>
      </c>
      <c r="N5" s="47" t="s">
        <v>117</v>
      </c>
    </row>
    <row r="6" spans="1:17" x14ac:dyDescent="0.25">
      <c r="A6" s="1"/>
      <c r="H6" s="30"/>
      <c r="I6" s="33"/>
      <c r="J6" s="46">
        <f>J28+J88+J124-2040.87</f>
        <v>66322571</v>
      </c>
      <c r="K6" s="46">
        <f>K28+K88+K124-1300.84</f>
        <v>52591117.160000004</v>
      </c>
      <c r="L6" s="46">
        <f>L28+L88+L124</f>
        <v>56830782.090000004</v>
      </c>
      <c r="M6" s="46">
        <f>M28+M88+M124</f>
        <v>46395292.390000001</v>
      </c>
      <c r="N6" s="47" t="s">
        <v>118</v>
      </c>
    </row>
    <row r="7" spans="1:17" s="28" customFormat="1" ht="21.75" customHeight="1" x14ac:dyDescent="0.25">
      <c r="A7" s="144" t="s">
        <v>2</v>
      </c>
      <c r="B7" s="144" t="s">
        <v>3</v>
      </c>
      <c r="C7" s="144" t="s">
        <v>4</v>
      </c>
      <c r="D7" s="144" t="s">
        <v>5</v>
      </c>
      <c r="E7" s="144" t="s">
        <v>6</v>
      </c>
      <c r="F7" s="144" t="s">
        <v>7</v>
      </c>
      <c r="G7" s="150" t="s">
        <v>8</v>
      </c>
      <c r="H7" s="151"/>
      <c r="I7" s="151"/>
      <c r="J7" s="151"/>
      <c r="K7" s="151"/>
      <c r="L7" s="151"/>
      <c r="M7" s="152"/>
      <c r="N7" s="144" t="s">
        <v>9</v>
      </c>
    </row>
    <row r="8" spans="1:17" s="28" customFormat="1" ht="21.75" customHeight="1" x14ac:dyDescent="0.25">
      <c r="A8" s="145"/>
      <c r="B8" s="145"/>
      <c r="C8" s="145"/>
      <c r="D8" s="145"/>
      <c r="E8" s="145"/>
      <c r="F8" s="145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145"/>
    </row>
    <row r="9" spans="1:17" s="13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 x14ac:dyDescent="0.25">
      <c r="A10" s="153"/>
      <c r="B10" s="156" t="s">
        <v>146</v>
      </c>
      <c r="C10" s="159" t="s">
        <v>11</v>
      </c>
      <c r="D10" s="162" t="s">
        <v>12</v>
      </c>
      <c r="E10" s="159" t="s">
        <v>153</v>
      </c>
      <c r="F10" s="34" t="s">
        <v>14</v>
      </c>
      <c r="G10" s="35">
        <f t="shared" ref="G10:M10" si="2">G11+G12+G13</f>
        <v>5189270925.9399996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1108172463.6500001</v>
      </c>
      <c r="L10" s="35">
        <f>L11+L12+L13</f>
        <v>1126127747.6700001</v>
      </c>
      <c r="M10" s="35">
        <f t="shared" si="2"/>
        <v>1134053342.1900001</v>
      </c>
      <c r="N10" s="165"/>
      <c r="O10" s="3"/>
    </row>
    <row r="11" spans="1:17" ht="30.75" customHeight="1" x14ac:dyDescent="0.25">
      <c r="A11" s="154"/>
      <c r="B11" s="157"/>
      <c r="C11" s="160"/>
      <c r="D11" s="163"/>
      <c r="E11" s="160"/>
      <c r="F11" s="34" t="s">
        <v>133</v>
      </c>
      <c r="G11" s="35">
        <f>H11+I11+J11+K11+M11</f>
        <v>1348061248.3299999</v>
      </c>
      <c r="H11" s="36">
        <f t="shared" ref="H11:M13" si="3">H15+H35+H99+H127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301909634.28999996</v>
      </c>
      <c r="L11" s="36">
        <f t="shared" si="3"/>
        <v>295069013.06999999</v>
      </c>
      <c r="M11" s="36">
        <f t="shared" si="3"/>
        <v>297453803.91999996</v>
      </c>
      <c r="N11" s="166"/>
      <c r="O11" s="3"/>
    </row>
    <row r="12" spans="1:17" ht="30.75" customHeight="1" x14ac:dyDescent="0.25">
      <c r="A12" s="154"/>
      <c r="B12" s="157"/>
      <c r="C12" s="160"/>
      <c r="D12" s="163"/>
      <c r="E12" s="160"/>
      <c r="F12" s="34" t="s">
        <v>16</v>
      </c>
      <c r="G12" s="35">
        <f>H12+I12+J12+K12+M12</f>
        <v>3638696626.7199998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758667919.36000001</v>
      </c>
      <c r="L12" s="36">
        <f t="shared" si="3"/>
        <v>783630644.60000002</v>
      </c>
      <c r="M12" s="36">
        <f t="shared" si="3"/>
        <v>789946448.26999998</v>
      </c>
      <c r="N12" s="166"/>
      <c r="O12" s="3"/>
    </row>
    <row r="13" spans="1:17" ht="30.75" customHeight="1" x14ac:dyDescent="0.25">
      <c r="A13" s="155"/>
      <c r="B13" s="158"/>
      <c r="C13" s="161"/>
      <c r="D13" s="164"/>
      <c r="E13" s="161"/>
      <c r="F13" s="34" t="s">
        <v>17</v>
      </c>
      <c r="G13" s="35">
        <f>H13+I13+J13+K13+M13</f>
        <v>202513050.88999999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47594910</v>
      </c>
      <c r="L13" s="36">
        <f t="shared" si="3"/>
        <v>47428090</v>
      </c>
      <c r="M13" s="36">
        <f t="shared" si="3"/>
        <v>46653090</v>
      </c>
      <c r="N13" s="167"/>
      <c r="O13" s="3"/>
    </row>
    <row r="14" spans="1:17" ht="21.75" customHeight="1" x14ac:dyDescent="0.25">
      <c r="A14" s="168"/>
      <c r="B14" s="170" t="s">
        <v>19</v>
      </c>
      <c r="C14" s="172" t="s">
        <v>11</v>
      </c>
      <c r="D14" s="174" t="s">
        <v>12</v>
      </c>
      <c r="E14" s="172" t="s">
        <v>153</v>
      </c>
      <c r="F14" s="37" t="s">
        <v>14</v>
      </c>
      <c r="G14" s="38">
        <f t="shared" ref="G14:M14" si="4">G15+G16+G17</f>
        <v>1669113553.77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352835781.54000002</v>
      </c>
      <c r="L14" s="38">
        <f>L15+L16+L17</f>
        <v>357816487.05000001</v>
      </c>
      <c r="M14" s="38">
        <f t="shared" si="4"/>
        <v>361336137.05000001</v>
      </c>
      <c r="N14" s="146" t="s">
        <v>20</v>
      </c>
      <c r="O14" s="3"/>
    </row>
    <row r="15" spans="1:17" ht="21.75" customHeight="1" x14ac:dyDescent="0.25">
      <c r="A15" s="169"/>
      <c r="B15" s="171"/>
      <c r="C15" s="173"/>
      <c r="D15" s="175"/>
      <c r="E15" s="173"/>
      <c r="F15" s="37" t="s">
        <v>133</v>
      </c>
      <c r="G15" s="38">
        <f>H15+I15+J15+K15+M15</f>
        <v>536168214.35000002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116907484.05</v>
      </c>
      <c r="L15" s="39">
        <f>L19+L23+L27+L31</f>
        <v>115907484.05</v>
      </c>
      <c r="M15" s="39">
        <f t="shared" si="5"/>
        <v>116907484.05</v>
      </c>
      <c r="N15" s="147"/>
      <c r="O15" s="3"/>
    </row>
    <row r="16" spans="1:17" ht="21.75" customHeight="1" x14ac:dyDescent="0.25">
      <c r="A16" s="169"/>
      <c r="B16" s="171"/>
      <c r="C16" s="173"/>
      <c r="D16" s="175"/>
      <c r="E16" s="173"/>
      <c r="F16" s="37" t="s">
        <v>16</v>
      </c>
      <c r="G16" s="38">
        <f>H16+I16+J16+K16+M16</f>
        <v>1132945339.4200001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235928297.49000001</v>
      </c>
      <c r="L16" s="39">
        <f>L20+L24+L28+L32</f>
        <v>241909003</v>
      </c>
      <c r="M16" s="39">
        <f t="shared" si="5"/>
        <v>244428653</v>
      </c>
      <c r="N16" s="147"/>
      <c r="O16" s="3"/>
    </row>
    <row r="17" spans="1:18" ht="21.75" customHeight="1" x14ac:dyDescent="0.25">
      <c r="A17" s="169"/>
      <c r="B17" s="171"/>
      <c r="C17" s="173"/>
      <c r="D17" s="176"/>
      <c r="E17" s="173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47"/>
      <c r="O17" s="3"/>
    </row>
    <row r="18" spans="1:18" ht="21.75" customHeight="1" x14ac:dyDescent="0.25">
      <c r="A18" s="149" t="s">
        <v>18</v>
      </c>
      <c r="B18" s="121" t="s">
        <v>21</v>
      </c>
      <c r="C18" s="115" t="s">
        <v>11</v>
      </c>
      <c r="D18" s="118" t="s">
        <v>12</v>
      </c>
      <c r="E18" s="115" t="s">
        <v>153</v>
      </c>
      <c r="F18" s="12" t="s">
        <v>14</v>
      </c>
      <c r="G18" s="22">
        <f t="shared" ref="G18:M18" si="6">G19+G20+G21</f>
        <v>1522431756.1000001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326189831.54000002</v>
      </c>
      <c r="L18" s="22">
        <f>L19+L20+L21</f>
        <v>329935057.05000001</v>
      </c>
      <c r="M18" s="22">
        <f t="shared" si="6"/>
        <v>335535867.05000001</v>
      </c>
      <c r="N18" s="147"/>
      <c r="O18" s="3"/>
    </row>
    <row r="19" spans="1:18" ht="21.75" customHeight="1" x14ac:dyDescent="0.25">
      <c r="A19" s="110"/>
      <c r="B19" s="122"/>
      <c r="C19" s="116"/>
      <c r="D19" s="119"/>
      <c r="E19" s="116"/>
      <c r="F19" s="12" t="s">
        <v>133</v>
      </c>
      <c r="G19" s="22">
        <f>H19+I19+J19+K19+M19</f>
        <v>532256284.19000006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v>116129134.05</v>
      </c>
      <c r="L19" s="22">
        <v>115129134.05</v>
      </c>
      <c r="M19" s="22">
        <v>116129134.05</v>
      </c>
      <c r="N19" s="147"/>
      <c r="O19" s="3"/>
    </row>
    <row r="20" spans="1:18" ht="21.75" customHeight="1" x14ac:dyDescent="0.25">
      <c r="A20" s="110"/>
      <c r="B20" s="122"/>
      <c r="C20" s="116"/>
      <c r="D20" s="119"/>
      <c r="E20" s="116"/>
      <c r="F20" s="12" t="s">
        <v>16</v>
      </c>
      <c r="G20" s="22">
        <f>H20+I20+J20+K20+M20</f>
        <v>990175471.91000009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'[16]СРБ на план. период_1'!$T$22</f>
        <v>210060697.49000001</v>
      </c>
      <c r="L20" s="22">
        <v>214805923</v>
      </c>
      <c r="M20" s="22">
        <v>219406733</v>
      </c>
      <c r="N20" s="147"/>
      <c r="O20" s="3"/>
    </row>
    <row r="21" spans="1:18" ht="21.75" customHeight="1" x14ac:dyDescent="0.25">
      <c r="A21" s="110"/>
      <c r="B21" s="122"/>
      <c r="C21" s="116"/>
      <c r="D21" s="120"/>
      <c r="E21" s="116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47"/>
      <c r="O21" s="3"/>
    </row>
    <row r="22" spans="1:18" ht="21.75" customHeight="1" x14ac:dyDescent="0.25">
      <c r="A22" s="109" t="s">
        <v>128</v>
      </c>
      <c r="B22" s="121" t="s">
        <v>22</v>
      </c>
      <c r="C22" s="115" t="s">
        <v>11</v>
      </c>
      <c r="D22" s="118" t="s">
        <v>12</v>
      </c>
      <c r="E22" s="115" t="s">
        <v>153</v>
      </c>
      <c r="F22" s="12" t="s">
        <v>14</v>
      </c>
      <c r="G22" s="22">
        <f t="shared" ref="G22:M22" si="7">G23+G24+G25</f>
        <v>3911930.16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778350</v>
      </c>
      <c r="L22" s="22">
        <f>L23+L24+L25</f>
        <v>778350</v>
      </c>
      <c r="M22" s="22">
        <f t="shared" si="7"/>
        <v>778350</v>
      </c>
      <c r="N22" s="147"/>
      <c r="O22" s="3"/>
    </row>
    <row r="23" spans="1:18" ht="21.75" customHeight="1" x14ac:dyDescent="0.25">
      <c r="A23" s="110"/>
      <c r="B23" s="122"/>
      <c r="C23" s="116"/>
      <c r="D23" s="119"/>
      <c r="E23" s="116"/>
      <c r="F23" s="12" t="s">
        <v>133</v>
      </c>
      <c r="G23" s="22">
        <f>H23+I23+J23+K23+M23</f>
        <v>3911930.16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v>778350</v>
      </c>
      <c r="L23" s="22">
        <v>778350</v>
      </c>
      <c r="M23" s="22">
        <v>778350</v>
      </c>
      <c r="N23" s="147"/>
      <c r="O23" s="3"/>
      <c r="R23" s="3"/>
    </row>
    <row r="24" spans="1:18" ht="21.75" customHeight="1" x14ac:dyDescent="0.25">
      <c r="A24" s="110"/>
      <c r="B24" s="122"/>
      <c r="C24" s="116"/>
      <c r="D24" s="119"/>
      <c r="E24" s="116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47"/>
      <c r="O24" s="3"/>
    </row>
    <row r="25" spans="1:18" ht="21.75" customHeight="1" x14ac:dyDescent="0.25">
      <c r="A25" s="111"/>
      <c r="B25" s="123"/>
      <c r="C25" s="116"/>
      <c r="D25" s="120"/>
      <c r="E25" s="117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47"/>
      <c r="O25" s="3"/>
    </row>
    <row r="26" spans="1:18" ht="21.75" customHeight="1" x14ac:dyDescent="0.25">
      <c r="A26" s="109" t="s">
        <v>144</v>
      </c>
      <c r="B26" s="121" t="s">
        <v>23</v>
      </c>
      <c r="C26" s="115" t="s">
        <v>11</v>
      </c>
      <c r="D26" s="118" t="s">
        <v>12</v>
      </c>
      <c r="E26" s="115" t="s">
        <v>153</v>
      </c>
      <c r="F26" s="12" t="s">
        <v>14</v>
      </c>
      <c r="G26" s="22">
        <f t="shared" ref="G26:M26" si="8">G27+G28+G29</f>
        <v>92247853.590000004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17322000</v>
      </c>
      <c r="L26" s="22">
        <f>L27+L28+L29</f>
        <v>18450000</v>
      </c>
      <c r="M26" s="22">
        <f t="shared" si="8"/>
        <v>15031360</v>
      </c>
      <c r="N26" s="147"/>
      <c r="O26" s="3"/>
    </row>
    <row r="27" spans="1:18" ht="21.75" customHeight="1" x14ac:dyDescent="0.25">
      <c r="A27" s="110"/>
      <c r="B27" s="122"/>
      <c r="C27" s="116"/>
      <c r="D27" s="119"/>
      <c r="E27" s="116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47"/>
      <c r="O27" s="3"/>
    </row>
    <row r="28" spans="1:18" ht="21.75" customHeight="1" x14ac:dyDescent="0.25">
      <c r="A28" s="110"/>
      <c r="B28" s="122"/>
      <c r="C28" s="116"/>
      <c r="D28" s="119"/>
      <c r="E28" s="116"/>
      <c r="F28" s="12" t="s">
        <v>16</v>
      </c>
      <c r="G28" s="22">
        <f>H28+I28+J28+K28+M28</f>
        <v>92247853.590000004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v>17322000</v>
      </c>
      <c r="L28" s="22">
        <v>18450000</v>
      </c>
      <c r="M28" s="22">
        <f>'[16]СРБ на план. период_1'!$V$16</f>
        <v>15031360</v>
      </c>
      <c r="N28" s="147"/>
      <c r="O28" s="3"/>
    </row>
    <row r="29" spans="1:18" ht="21.75" customHeight="1" x14ac:dyDescent="0.25">
      <c r="A29" s="111"/>
      <c r="B29" s="123"/>
      <c r="C29" s="116"/>
      <c r="D29" s="120"/>
      <c r="E29" s="117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47"/>
      <c r="P29" s="3"/>
    </row>
    <row r="30" spans="1:18" ht="21.75" customHeight="1" x14ac:dyDescent="0.25">
      <c r="A30" s="109" t="s">
        <v>145</v>
      </c>
      <c r="B30" s="121" t="s">
        <v>24</v>
      </c>
      <c r="C30" s="115" t="s">
        <v>11</v>
      </c>
      <c r="D30" s="118" t="s">
        <v>12</v>
      </c>
      <c r="E30" s="115" t="s">
        <v>153</v>
      </c>
      <c r="F30" s="12" t="s">
        <v>14</v>
      </c>
      <c r="G30" s="22">
        <f t="shared" ref="G30:M30" si="9">G31+G32+G33</f>
        <v>50522013.920000002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8545600</v>
      </c>
      <c r="L30" s="22">
        <f>L31+L32+L33</f>
        <v>8653080</v>
      </c>
      <c r="M30" s="22">
        <f t="shared" si="9"/>
        <v>9990560</v>
      </c>
      <c r="N30" s="147"/>
      <c r="O30" s="3"/>
    </row>
    <row r="31" spans="1:18" ht="21.75" customHeight="1" x14ac:dyDescent="0.25">
      <c r="A31" s="110"/>
      <c r="B31" s="122"/>
      <c r="C31" s="116"/>
      <c r="D31" s="119"/>
      <c r="E31" s="116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47"/>
    </row>
    <row r="32" spans="1:18" ht="21.75" customHeight="1" x14ac:dyDescent="0.25">
      <c r="A32" s="110"/>
      <c r="B32" s="122"/>
      <c r="C32" s="116"/>
      <c r="D32" s="119"/>
      <c r="E32" s="116"/>
      <c r="F32" s="12" t="s">
        <v>16</v>
      </c>
      <c r="G32" s="22">
        <f>H32+I32+J32+K32+M32</f>
        <v>50522013.920000002</v>
      </c>
      <c r="H32" s="22">
        <v>9450400</v>
      </c>
      <c r="I32" s="22">
        <v>9868564</v>
      </c>
      <c r="J32" s="48">
        <v>12666889.92</v>
      </c>
      <c r="K32" s="22">
        <v>8545600</v>
      </c>
      <c r="L32" s="22">
        <v>8653080</v>
      </c>
      <c r="M32" s="22">
        <v>9990560</v>
      </c>
      <c r="N32" s="147"/>
    </row>
    <row r="33" spans="1:41" ht="21.75" customHeight="1" x14ac:dyDescent="0.25">
      <c r="A33" s="111"/>
      <c r="B33" s="123"/>
      <c r="C33" s="116"/>
      <c r="D33" s="120"/>
      <c r="E33" s="117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48"/>
      <c r="P33" s="3"/>
    </row>
    <row r="34" spans="1:41" ht="21.75" customHeight="1" x14ac:dyDescent="0.25">
      <c r="A34" s="177"/>
      <c r="B34" s="180" t="s">
        <v>26</v>
      </c>
      <c r="C34" s="172" t="s">
        <v>11</v>
      </c>
      <c r="D34" s="174" t="s">
        <v>27</v>
      </c>
      <c r="E34" s="172" t="s">
        <v>153</v>
      </c>
      <c r="F34" s="37" t="s">
        <v>14</v>
      </c>
      <c r="G34" s="38">
        <f t="shared" ref="G34:M34" si="10">G35+G36+G37</f>
        <v>2905927561.0500002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616003158.75</v>
      </c>
      <c r="L34" s="38">
        <f>L35+L36+L37</f>
        <v>631197752.25999999</v>
      </c>
      <c r="M34" s="38">
        <f t="shared" si="10"/>
        <v>635188986.23000002</v>
      </c>
      <c r="N34" s="146" t="s">
        <v>28</v>
      </c>
    </row>
    <row r="35" spans="1:41" ht="21.75" customHeight="1" x14ac:dyDescent="0.25">
      <c r="A35" s="178"/>
      <c r="B35" s="181"/>
      <c r="C35" s="173"/>
      <c r="D35" s="175"/>
      <c r="E35" s="173"/>
      <c r="F35" s="37" t="s">
        <v>133</v>
      </c>
      <c r="G35" s="38">
        <f>H35+I35+J35+K35+M35</f>
        <v>684024284.77999997</v>
      </c>
      <c r="H35" s="38">
        <f t="shared" ref="H35:M37" si="11">H39+H43+H47+H51+H83+H87+H91+H71+H75+H79+H55+H59+H63+H67</f>
        <v>114137373.15000001</v>
      </c>
      <c r="I35" s="38">
        <f t="shared" si="11"/>
        <v>124208329.39000002</v>
      </c>
      <c r="J35" s="38">
        <f t="shared" si="11"/>
        <v>140136671.78</v>
      </c>
      <c r="K35" s="38">
        <f t="shared" si="11"/>
        <v>152902758.22999999</v>
      </c>
      <c r="L35" s="38">
        <f t="shared" si="11"/>
        <v>151153056.25999999</v>
      </c>
      <c r="M35" s="38">
        <f t="shared" si="11"/>
        <v>152639152.22999996</v>
      </c>
      <c r="N35" s="147"/>
      <c r="AO35" s="3">
        <f>SUM('на 01.06'!$G$34:$AN$93)</f>
        <v>25781028265.439999</v>
      </c>
    </row>
    <row r="36" spans="1:41" ht="21.75" customHeight="1" x14ac:dyDescent="0.25">
      <c r="A36" s="178"/>
      <c r="B36" s="181"/>
      <c r="C36" s="173"/>
      <c r="D36" s="175"/>
      <c r="E36" s="173"/>
      <c r="F36" s="37" t="s">
        <v>16</v>
      </c>
      <c r="G36" s="38">
        <f>H36+I36+J36+K36+M36</f>
        <v>2088242976.27</v>
      </c>
      <c r="H36" s="38">
        <f t="shared" si="11"/>
        <v>380939856.56999999</v>
      </c>
      <c r="I36" s="38">
        <f t="shared" si="11"/>
        <v>402852039.81</v>
      </c>
      <c r="J36" s="38">
        <f t="shared" si="11"/>
        <v>419990345.37</v>
      </c>
      <c r="K36" s="38">
        <f t="shared" si="11"/>
        <v>432694890.51999998</v>
      </c>
      <c r="L36" s="38">
        <f t="shared" si="11"/>
        <v>449260706</v>
      </c>
      <c r="M36" s="38">
        <f t="shared" si="11"/>
        <v>451765844</v>
      </c>
      <c r="N36" s="147"/>
      <c r="AO36" s="3">
        <f>SUM('на 01.06'!$G$34:$AN$93)</f>
        <v>25781028265.439999</v>
      </c>
    </row>
    <row r="37" spans="1:41" ht="21.75" customHeight="1" x14ac:dyDescent="0.25">
      <c r="A37" s="179"/>
      <c r="B37" s="182"/>
      <c r="C37" s="183"/>
      <c r="D37" s="176"/>
      <c r="E37" s="183"/>
      <c r="F37" s="37" t="s">
        <v>17</v>
      </c>
      <c r="G37" s="38">
        <f>H37+I37+J37+K37+M37</f>
        <v>133660300</v>
      </c>
      <c r="H37" s="38">
        <f t="shared" si="11"/>
        <v>10581400</v>
      </c>
      <c r="I37" s="38">
        <f t="shared" si="11"/>
        <v>30779350</v>
      </c>
      <c r="J37" s="38">
        <f t="shared" si="11"/>
        <v>31110050</v>
      </c>
      <c r="K37" s="38">
        <f t="shared" si="11"/>
        <v>30405510</v>
      </c>
      <c r="L37" s="38">
        <f t="shared" si="11"/>
        <v>30783990</v>
      </c>
      <c r="M37" s="38">
        <f t="shared" si="11"/>
        <v>30783990</v>
      </c>
      <c r="N37" s="147"/>
      <c r="AO37" s="3">
        <f>SUM('на 01.06'!$G$34:$AN$93)</f>
        <v>25781028265.439999</v>
      </c>
    </row>
    <row r="38" spans="1:41" ht="21.75" hidden="1" customHeight="1" outlineLevel="1" x14ac:dyDescent="0.25">
      <c r="A38" s="109" t="s">
        <v>29</v>
      </c>
      <c r="B38" s="112" t="s">
        <v>30</v>
      </c>
      <c r="C38" s="115" t="s">
        <v>11</v>
      </c>
      <c r="D38" s="118" t="s">
        <v>27</v>
      </c>
      <c r="E38" s="115" t="s">
        <v>153</v>
      </c>
      <c r="F38" s="12" t="s">
        <v>14</v>
      </c>
      <c r="G38" s="22">
        <f t="shared" ref="G38:M38" si="12">G39+G40+G41</f>
        <v>0</v>
      </c>
      <c r="H38" s="22">
        <f t="shared" si="12"/>
        <v>0</v>
      </c>
      <c r="I38" s="22">
        <f t="shared" si="12"/>
        <v>0</v>
      </c>
      <c r="J38" s="48">
        <f t="shared" si="12"/>
        <v>0</v>
      </c>
      <c r="K38" s="22">
        <f t="shared" si="12"/>
        <v>0</v>
      </c>
      <c r="L38" s="22">
        <f>L39+L40+L41</f>
        <v>0</v>
      </c>
      <c r="M38" s="22">
        <f t="shared" si="12"/>
        <v>0</v>
      </c>
      <c r="N38" s="147"/>
      <c r="AO38" s="3">
        <f>SUM('на 01.06'!$G$34:$AN$93)</f>
        <v>25781028265.439999</v>
      </c>
    </row>
    <row r="39" spans="1:41" ht="21.75" hidden="1" customHeight="1" outlineLevel="1" x14ac:dyDescent="0.25">
      <c r="A39" s="110"/>
      <c r="B39" s="113"/>
      <c r="C39" s="116"/>
      <c r="D39" s="119"/>
      <c r="E39" s="116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47"/>
      <c r="AO39" s="3">
        <f>SUM(AO35:AO38)</f>
        <v>103124113061.75999</v>
      </c>
    </row>
    <row r="40" spans="1:41" ht="21.75" hidden="1" customHeight="1" outlineLevel="1" x14ac:dyDescent="0.25">
      <c r="A40" s="110"/>
      <c r="B40" s="113"/>
      <c r="C40" s="116"/>
      <c r="D40" s="119"/>
      <c r="E40" s="116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47"/>
    </row>
    <row r="41" spans="1:41" ht="21.75" hidden="1" customHeight="1" outlineLevel="1" x14ac:dyDescent="0.25">
      <c r="A41" s="111"/>
      <c r="B41" s="114"/>
      <c r="C41" s="116"/>
      <c r="D41" s="120"/>
      <c r="E41" s="117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47"/>
      <c r="O41" s="3"/>
    </row>
    <row r="42" spans="1:41" ht="21.75" hidden="1" customHeight="1" outlineLevel="1" x14ac:dyDescent="0.25">
      <c r="A42" s="109" t="s">
        <v>31</v>
      </c>
      <c r="B42" s="112" t="s">
        <v>32</v>
      </c>
      <c r="C42" s="115" t="s">
        <v>11</v>
      </c>
      <c r="D42" s="118" t="s">
        <v>27</v>
      </c>
      <c r="E42" s="115" t="s">
        <v>153</v>
      </c>
      <c r="F42" s="12" t="s">
        <v>14</v>
      </c>
      <c r="G42" s="22">
        <f t="shared" ref="G42:M42" si="13">G43+G44+G45</f>
        <v>0</v>
      </c>
      <c r="H42" s="22">
        <f t="shared" si="13"/>
        <v>0</v>
      </c>
      <c r="I42" s="22">
        <f t="shared" si="13"/>
        <v>0</v>
      </c>
      <c r="J42" s="48">
        <f t="shared" si="13"/>
        <v>0</v>
      </c>
      <c r="K42" s="22">
        <f t="shared" si="13"/>
        <v>0</v>
      </c>
      <c r="L42" s="22">
        <f>L43+L44+L45</f>
        <v>0</v>
      </c>
      <c r="M42" s="22">
        <f t="shared" si="13"/>
        <v>0</v>
      </c>
      <c r="N42" s="147"/>
      <c r="P42" s="3"/>
    </row>
    <row r="43" spans="1:41" ht="21.75" hidden="1" customHeight="1" outlineLevel="1" x14ac:dyDescent="0.25">
      <c r="A43" s="110"/>
      <c r="B43" s="113"/>
      <c r="C43" s="116"/>
      <c r="D43" s="119"/>
      <c r="E43" s="116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47"/>
    </row>
    <row r="44" spans="1:41" ht="21.75" hidden="1" customHeight="1" outlineLevel="1" x14ac:dyDescent="0.25">
      <c r="A44" s="110"/>
      <c r="B44" s="113"/>
      <c r="C44" s="116"/>
      <c r="D44" s="119"/>
      <c r="E44" s="116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47"/>
      <c r="O44" s="6">
        <f>'[3]9 мес 2021'!$H$25-I44</f>
        <v>8816768</v>
      </c>
    </row>
    <row r="45" spans="1:41" ht="21.75" hidden="1" customHeight="1" outlineLevel="1" x14ac:dyDescent="0.25">
      <c r="A45" s="111"/>
      <c r="B45" s="114"/>
      <c r="C45" s="116"/>
      <c r="D45" s="120"/>
      <c r="E45" s="117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47"/>
      <c r="O45" s="7"/>
    </row>
    <row r="46" spans="1:41" ht="21.75" hidden="1" customHeight="1" outlineLevel="1" x14ac:dyDescent="0.25">
      <c r="A46" s="109" t="s">
        <v>33</v>
      </c>
      <c r="B46" s="112" t="s">
        <v>34</v>
      </c>
      <c r="C46" s="115" t="s">
        <v>11</v>
      </c>
      <c r="D46" s="118" t="s">
        <v>27</v>
      </c>
      <c r="E46" s="115" t="s">
        <v>153</v>
      </c>
      <c r="F46" s="12" t="s">
        <v>14</v>
      </c>
      <c r="G46" s="22">
        <f t="shared" ref="G46:M46" si="14">G47+G48+G49</f>
        <v>0</v>
      </c>
      <c r="H46" s="22">
        <f t="shared" si="14"/>
        <v>0</v>
      </c>
      <c r="I46" s="22">
        <f t="shared" si="14"/>
        <v>0</v>
      </c>
      <c r="J46" s="48">
        <f t="shared" si="14"/>
        <v>0</v>
      </c>
      <c r="K46" s="22">
        <f t="shared" si="14"/>
        <v>0</v>
      </c>
      <c r="L46" s="22">
        <f>L47+L48+L49</f>
        <v>0</v>
      </c>
      <c r="M46" s="22">
        <f t="shared" si="14"/>
        <v>0</v>
      </c>
      <c r="N46" s="147"/>
      <c r="O46" s="7"/>
    </row>
    <row r="47" spans="1:41" ht="21.75" hidden="1" customHeight="1" outlineLevel="1" x14ac:dyDescent="0.25">
      <c r="A47" s="110"/>
      <c r="B47" s="113"/>
      <c r="C47" s="116"/>
      <c r="D47" s="119"/>
      <c r="E47" s="116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47"/>
      <c r="O47" s="7"/>
    </row>
    <row r="48" spans="1:41" ht="21.75" hidden="1" customHeight="1" outlineLevel="1" x14ac:dyDescent="0.25">
      <c r="A48" s="110"/>
      <c r="B48" s="113"/>
      <c r="C48" s="116"/>
      <c r="D48" s="119"/>
      <c r="E48" s="116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47"/>
      <c r="O48" s="6"/>
    </row>
    <row r="49" spans="1:16" ht="21.75" hidden="1" customHeight="1" outlineLevel="1" x14ac:dyDescent="0.25">
      <c r="A49" s="111"/>
      <c r="B49" s="114"/>
      <c r="C49" s="116"/>
      <c r="D49" s="120"/>
      <c r="E49" s="117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47"/>
    </row>
    <row r="50" spans="1:16" ht="21.75" customHeight="1" collapsed="1" x14ac:dyDescent="0.25">
      <c r="A50" s="109" t="s">
        <v>18</v>
      </c>
      <c r="B50" s="121" t="s">
        <v>35</v>
      </c>
      <c r="C50" s="115" t="s">
        <v>11</v>
      </c>
      <c r="D50" s="118" t="s">
        <v>27</v>
      </c>
      <c r="E50" s="115" t="s">
        <v>153</v>
      </c>
      <c r="F50" s="12" t="s">
        <v>14</v>
      </c>
      <c r="G50" s="22">
        <f t="shared" ref="G50:M50" si="15">G51+G52+G53</f>
        <v>2601479064.29</v>
      </c>
      <c r="H50" s="22">
        <f t="shared" si="15"/>
        <v>470828018.72000003</v>
      </c>
      <c r="I50" s="22">
        <f t="shared" si="15"/>
        <v>487676039.38999999</v>
      </c>
      <c r="J50" s="48">
        <f t="shared" si="15"/>
        <v>517542710.49000001</v>
      </c>
      <c r="K50" s="22">
        <f t="shared" si="15"/>
        <v>551287039.10000002</v>
      </c>
      <c r="L50" s="22">
        <f>L51+L52+L53</f>
        <v>563780982.62</v>
      </c>
      <c r="M50" s="22">
        <f t="shared" si="15"/>
        <v>574145256.58999991</v>
      </c>
      <c r="N50" s="147"/>
      <c r="O50" s="3"/>
    </row>
    <row r="51" spans="1:16" ht="21.75" customHeight="1" x14ac:dyDescent="0.25">
      <c r="A51" s="110"/>
      <c r="B51" s="122"/>
      <c r="C51" s="116"/>
      <c r="D51" s="119"/>
      <c r="E51" s="116"/>
      <c r="F51" s="12" t="s">
        <v>133</v>
      </c>
      <c r="G51" s="22">
        <f>H51+I51+J51+K51+M51</f>
        <v>670442244.20000005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'[16]СРБ на план. период_1'!$T$35</f>
        <v>150456372.59</v>
      </c>
      <c r="L51" s="22">
        <v>149270276.62</v>
      </c>
      <c r="M51" s="22">
        <v>150756372.58999997</v>
      </c>
      <c r="N51" s="147"/>
    </row>
    <row r="52" spans="1:16" ht="21.75" customHeight="1" x14ac:dyDescent="0.25">
      <c r="A52" s="110"/>
      <c r="B52" s="122"/>
      <c r="C52" s="116"/>
      <c r="D52" s="119"/>
      <c r="E52" s="116"/>
      <c r="F52" s="12" t="s">
        <v>16</v>
      </c>
      <c r="G52" s="22">
        <f>H52+I52+J52+K52+M52</f>
        <v>1920455420.0899999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v>400830666.50999999</v>
      </c>
      <c r="L52" s="22">
        <v>414510706</v>
      </c>
      <c r="M52" s="22">
        <v>423388884</v>
      </c>
      <c r="N52" s="147"/>
      <c r="O52" s="3"/>
    </row>
    <row r="53" spans="1:16" ht="21.75" customHeight="1" x14ac:dyDescent="0.25">
      <c r="A53" s="111"/>
      <c r="B53" s="123"/>
      <c r="C53" s="116"/>
      <c r="D53" s="120"/>
      <c r="E53" s="117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47"/>
      <c r="O53" s="7"/>
      <c r="P53" s="8"/>
    </row>
    <row r="54" spans="1:16" ht="21.75" customHeight="1" collapsed="1" x14ac:dyDescent="0.25">
      <c r="A54" s="109" t="s">
        <v>25</v>
      </c>
      <c r="B54" s="121" t="s">
        <v>40</v>
      </c>
      <c r="C54" s="115" t="s">
        <v>11</v>
      </c>
      <c r="D54" s="118" t="s">
        <v>27</v>
      </c>
      <c r="E54" s="115" t="s">
        <v>153</v>
      </c>
      <c r="F54" s="12" t="s">
        <v>14</v>
      </c>
      <c r="G54" s="22">
        <f t="shared" ref="G54:M54" si="16">G55+G56+G57</f>
        <v>123078900</v>
      </c>
      <c r="H54" s="22">
        <f t="shared" si="16"/>
        <v>0</v>
      </c>
      <c r="I54" s="22">
        <f t="shared" si="16"/>
        <v>30779350</v>
      </c>
      <c r="J54" s="48">
        <f t="shared" si="16"/>
        <v>31110050</v>
      </c>
      <c r="K54" s="22">
        <f t="shared" si="16"/>
        <v>30405510</v>
      </c>
      <c r="L54" s="22">
        <f t="shared" si="16"/>
        <v>30783990</v>
      </c>
      <c r="M54" s="22">
        <f t="shared" si="16"/>
        <v>30783990</v>
      </c>
      <c r="N54" s="147"/>
    </row>
    <row r="55" spans="1:16" ht="21.75" customHeight="1" x14ac:dyDescent="0.25">
      <c r="A55" s="110"/>
      <c r="B55" s="122"/>
      <c r="C55" s="116"/>
      <c r="D55" s="119"/>
      <c r="E55" s="116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47"/>
    </row>
    <row r="56" spans="1:16" ht="21.75" customHeight="1" x14ac:dyDescent="0.25">
      <c r="A56" s="110"/>
      <c r="B56" s="122"/>
      <c r="C56" s="116"/>
      <c r="D56" s="119"/>
      <c r="E56" s="116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47"/>
    </row>
    <row r="57" spans="1:16" ht="21.75" customHeight="1" x14ac:dyDescent="0.25">
      <c r="A57" s="111"/>
      <c r="B57" s="123"/>
      <c r="C57" s="116"/>
      <c r="D57" s="120"/>
      <c r="E57" s="117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v>30405510</v>
      </c>
      <c r="L57" s="22">
        <v>30783990</v>
      </c>
      <c r="M57" s="22">
        <v>30783990</v>
      </c>
      <c r="N57" s="147"/>
    </row>
    <row r="58" spans="1:16" ht="21.75" customHeight="1" x14ac:dyDescent="0.25">
      <c r="A58" s="124" t="s">
        <v>44</v>
      </c>
      <c r="B58" s="112" t="s">
        <v>43</v>
      </c>
      <c r="C58" s="115" t="s">
        <v>11</v>
      </c>
      <c r="D58" s="127" t="s">
        <v>37</v>
      </c>
      <c r="E58" s="115" t="s">
        <v>153</v>
      </c>
      <c r="F58" s="12" t="s">
        <v>14</v>
      </c>
      <c r="G58" s="22">
        <f t="shared" ref="G58:M58" si="17">G59+G60+G61</f>
        <v>300000</v>
      </c>
      <c r="H58" s="22">
        <f t="shared" si="17"/>
        <v>60000</v>
      </c>
      <c r="I58" s="22">
        <f t="shared" si="17"/>
        <v>60000</v>
      </c>
      <c r="J58" s="48">
        <f t="shared" si="17"/>
        <v>60000</v>
      </c>
      <c r="K58" s="22">
        <f t="shared" si="17"/>
        <v>60000</v>
      </c>
      <c r="L58" s="22">
        <f t="shared" si="17"/>
        <v>60000</v>
      </c>
      <c r="M58" s="22">
        <f t="shared" si="17"/>
        <v>60000</v>
      </c>
      <c r="N58" s="147"/>
    </row>
    <row r="59" spans="1:16" ht="21.75" customHeight="1" x14ac:dyDescent="0.25">
      <c r="A59" s="125"/>
      <c r="B59" s="113"/>
      <c r="C59" s="116"/>
      <c r="D59" s="128"/>
      <c r="E59" s="116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47"/>
    </row>
    <row r="60" spans="1:16" ht="21.75" customHeight="1" x14ac:dyDescent="0.25">
      <c r="A60" s="125"/>
      <c r="B60" s="113"/>
      <c r="C60" s="116"/>
      <c r="D60" s="128"/>
      <c r="E60" s="116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47"/>
    </row>
    <row r="61" spans="1:16" ht="21" customHeight="1" x14ac:dyDescent="0.25">
      <c r="A61" s="126"/>
      <c r="B61" s="114"/>
      <c r="C61" s="116"/>
      <c r="D61" s="129"/>
      <c r="E61" s="117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47"/>
    </row>
    <row r="62" spans="1:16" ht="21.75" customHeight="1" x14ac:dyDescent="0.25">
      <c r="A62" s="124" t="s">
        <v>48</v>
      </c>
      <c r="B62" s="121" t="s">
        <v>53</v>
      </c>
      <c r="C62" s="115" t="s">
        <v>11</v>
      </c>
      <c r="D62" s="127" t="s">
        <v>54</v>
      </c>
      <c r="E62" s="115" t="s">
        <v>153</v>
      </c>
      <c r="F62" s="12" t="s">
        <v>14</v>
      </c>
      <c r="G62" s="22">
        <f t="shared" ref="G62:M62" si="18">G63+G64+G65</f>
        <v>1887641.65</v>
      </c>
      <c r="H62" s="22">
        <f t="shared" si="18"/>
        <v>393480</v>
      </c>
      <c r="I62" s="22">
        <f t="shared" si="18"/>
        <v>1094161.6499999999</v>
      </c>
      <c r="J62" s="48">
        <f t="shared" si="18"/>
        <v>400000</v>
      </c>
      <c r="K62" s="22">
        <f t="shared" si="18"/>
        <v>0</v>
      </c>
      <c r="L62" s="22">
        <f t="shared" si="18"/>
        <v>0</v>
      </c>
      <c r="M62" s="22">
        <f t="shared" si="18"/>
        <v>0</v>
      </c>
      <c r="N62" s="147"/>
    </row>
    <row r="63" spans="1:16" ht="21.75" customHeight="1" x14ac:dyDescent="0.25">
      <c r="A63" s="125"/>
      <c r="B63" s="122"/>
      <c r="C63" s="116"/>
      <c r="D63" s="128"/>
      <c r="E63" s="116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47"/>
    </row>
    <row r="64" spans="1:16" ht="21.75" customHeight="1" x14ac:dyDescent="0.25">
      <c r="A64" s="125"/>
      <c r="B64" s="122"/>
      <c r="C64" s="116"/>
      <c r="D64" s="128"/>
      <c r="E64" s="116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47"/>
    </row>
    <row r="65" spans="1:14" ht="21.75" customHeight="1" x14ac:dyDescent="0.25">
      <c r="A65" s="126"/>
      <c r="B65" s="123"/>
      <c r="C65" s="116"/>
      <c r="D65" s="129"/>
      <c r="E65" s="117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47"/>
    </row>
    <row r="66" spans="1:14" ht="21.75" customHeight="1" x14ac:dyDescent="0.25">
      <c r="A66" s="130" t="s">
        <v>56</v>
      </c>
      <c r="B66" s="133" t="s">
        <v>41</v>
      </c>
      <c r="C66" s="136" t="s">
        <v>11</v>
      </c>
      <c r="D66" s="138" t="s">
        <v>42</v>
      </c>
      <c r="E66" s="136" t="s">
        <v>153</v>
      </c>
      <c r="F66" s="49" t="s">
        <v>14</v>
      </c>
      <c r="G66" s="48">
        <f t="shared" ref="G66:M66" si="19">G67+G68+G69</f>
        <v>220242.99</v>
      </c>
      <c r="H66" s="48">
        <f t="shared" si="19"/>
        <v>0</v>
      </c>
      <c r="I66" s="48">
        <f t="shared" si="19"/>
        <v>0</v>
      </c>
      <c r="J66" s="48">
        <f t="shared" si="19"/>
        <v>220242.99</v>
      </c>
      <c r="K66" s="48">
        <f t="shared" si="19"/>
        <v>0</v>
      </c>
      <c r="L66" s="48">
        <f t="shared" si="19"/>
        <v>0</v>
      </c>
      <c r="M66" s="48">
        <f t="shared" si="19"/>
        <v>0</v>
      </c>
      <c r="N66" s="147"/>
    </row>
    <row r="67" spans="1:14" ht="21.75" customHeight="1" x14ac:dyDescent="0.25">
      <c r="A67" s="131"/>
      <c r="B67" s="134"/>
      <c r="C67" s="137"/>
      <c r="D67" s="139"/>
      <c r="E67" s="137"/>
      <c r="F67" s="49" t="s">
        <v>15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47"/>
    </row>
    <row r="68" spans="1:14" ht="21.75" customHeight="1" x14ac:dyDescent="0.25">
      <c r="A68" s="131"/>
      <c r="B68" s="134"/>
      <c r="C68" s="137"/>
      <c r="D68" s="139"/>
      <c r="E68" s="137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47"/>
    </row>
    <row r="69" spans="1:14" ht="21.75" customHeight="1" x14ac:dyDescent="0.25">
      <c r="A69" s="132"/>
      <c r="B69" s="135"/>
      <c r="C69" s="137"/>
      <c r="D69" s="140"/>
      <c r="E69" s="141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47"/>
    </row>
    <row r="70" spans="1:14" ht="21.75" customHeight="1" collapsed="1" x14ac:dyDescent="0.25">
      <c r="A70" s="124" t="s">
        <v>94</v>
      </c>
      <c r="B70" s="112" t="s">
        <v>45</v>
      </c>
      <c r="C70" s="115" t="s">
        <v>11</v>
      </c>
      <c r="D70" s="118" t="s">
        <v>42</v>
      </c>
      <c r="E70" s="115" t="s">
        <v>153</v>
      </c>
      <c r="F70" s="12" t="s">
        <v>14</v>
      </c>
      <c r="G70" s="22">
        <f t="shared" ref="G70:M70" si="20">G71+G72+G73</f>
        <v>500000</v>
      </c>
      <c r="H70" s="22">
        <f t="shared" si="20"/>
        <v>90000</v>
      </c>
      <c r="I70" s="22">
        <f t="shared" si="20"/>
        <v>100000</v>
      </c>
      <c r="J70" s="22">
        <f t="shared" si="20"/>
        <v>100000</v>
      </c>
      <c r="K70" s="22">
        <f t="shared" si="20"/>
        <v>105000</v>
      </c>
      <c r="L70" s="22">
        <f t="shared" si="20"/>
        <v>105000</v>
      </c>
      <c r="M70" s="22">
        <f t="shared" si="20"/>
        <v>105000</v>
      </c>
      <c r="N70" s="147"/>
    </row>
    <row r="71" spans="1:14" ht="21.75" customHeight="1" x14ac:dyDescent="0.25">
      <c r="A71" s="125"/>
      <c r="B71" s="113"/>
      <c r="C71" s="116"/>
      <c r="D71" s="119"/>
      <c r="E71" s="116"/>
      <c r="F71" s="12" t="s">
        <v>133</v>
      </c>
      <c r="G71" s="22">
        <f>H71+I71+J71+K71+M71</f>
        <v>500000</v>
      </c>
      <c r="H71" s="22">
        <v>90000</v>
      </c>
      <c r="I71" s="22">
        <f>100000</f>
        <v>100000</v>
      </c>
      <c r="J71" s="22">
        <v>100000</v>
      </c>
      <c r="K71" s="22">
        <v>105000</v>
      </c>
      <c r="L71" s="22">
        <v>105000</v>
      </c>
      <c r="M71" s="22">
        <v>105000</v>
      </c>
      <c r="N71" s="147"/>
    </row>
    <row r="72" spans="1:14" ht="21.75" customHeight="1" x14ac:dyDescent="0.25">
      <c r="A72" s="125"/>
      <c r="B72" s="113"/>
      <c r="C72" s="116"/>
      <c r="D72" s="119"/>
      <c r="E72" s="116"/>
      <c r="F72" s="12" t="s">
        <v>16</v>
      </c>
      <c r="G72" s="22">
        <f>H72+I72+J72+K72+M72</f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147"/>
    </row>
    <row r="73" spans="1:14" ht="21.75" customHeight="1" x14ac:dyDescent="0.25">
      <c r="A73" s="126"/>
      <c r="B73" s="114"/>
      <c r="C73" s="116"/>
      <c r="D73" s="120"/>
      <c r="E73" s="117"/>
      <c r="F73" s="12" t="s">
        <v>17</v>
      </c>
      <c r="G73" s="22">
        <f>H73+I73+J73+K73+M73</f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147"/>
    </row>
    <row r="74" spans="1:14" ht="21.75" customHeight="1" x14ac:dyDescent="0.25">
      <c r="A74" s="109" t="s">
        <v>102</v>
      </c>
      <c r="B74" s="112" t="s">
        <v>36</v>
      </c>
      <c r="C74" s="115" t="s">
        <v>11</v>
      </c>
      <c r="D74" s="127" t="s">
        <v>37</v>
      </c>
      <c r="E74" s="115" t="s">
        <v>153</v>
      </c>
      <c r="F74" s="12" t="s">
        <v>14</v>
      </c>
      <c r="G74" s="22">
        <f t="shared" ref="G74:M74" si="21">G75+G76+G77</f>
        <v>4661070.7300000004</v>
      </c>
      <c r="H74" s="22">
        <f t="shared" si="21"/>
        <v>1481975</v>
      </c>
      <c r="I74" s="22">
        <f t="shared" si="21"/>
        <v>653058.44999999995</v>
      </c>
      <c r="J74" s="48">
        <f t="shared" si="21"/>
        <v>888490</v>
      </c>
      <c r="K74" s="22">
        <f t="shared" si="21"/>
        <v>1068773.6400000001</v>
      </c>
      <c r="L74" s="22">
        <f t="shared" si="21"/>
        <v>568773.64</v>
      </c>
      <c r="M74" s="22">
        <f t="shared" si="21"/>
        <v>568773.64</v>
      </c>
      <c r="N74" s="147"/>
    </row>
    <row r="75" spans="1:14" ht="21.75" customHeight="1" x14ac:dyDescent="0.25">
      <c r="A75" s="110"/>
      <c r="B75" s="113"/>
      <c r="C75" s="116"/>
      <c r="D75" s="128"/>
      <c r="E75" s="116"/>
      <c r="F75" s="12" t="s">
        <v>133</v>
      </c>
      <c r="G75" s="22">
        <f>H75+I75+J75+K75+M75</f>
        <v>4661070.7300000004</v>
      </c>
      <c r="H75" s="22">
        <v>1481975</v>
      </c>
      <c r="I75" s="22">
        <f>1481975-602271.91-226644.64</f>
        <v>653058.44999999995</v>
      </c>
      <c r="J75" s="48">
        <v>888490</v>
      </c>
      <c r="K75" s="22">
        <v>1068773.6400000001</v>
      </c>
      <c r="L75" s="22">
        <v>568773.64</v>
      </c>
      <c r="M75" s="22">
        <v>568773.64</v>
      </c>
      <c r="N75" s="147"/>
    </row>
    <row r="76" spans="1:14" ht="21.75" customHeight="1" x14ac:dyDescent="0.25">
      <c r="A76" s="110"/>
      <c r="B76" s="113"/>
      <c r="C76" s="116"/>
      <c r="D76" s="128"/>
      <c r="E76" s="116"/>
      <c r="F76" s="12" t="s">
        <v>16</v>
      </c>
      <c r="G76" s="22">
        <f>H76+I76+J76+K76+M76</f>
        <v>0</v>
      </c>
      <c r="H76" s="22">
        <v>0</v>
      </c>
      <c r="I76" s="22">
        <v>0</v>
      </c>
      <c r="J76" s="48">
        <v>0</v>
      </c>
      <c r="K76" s="22">
        <v>0</v>
      </c>
      <c r="L76" s="22">
        <v>0</v>
      </c>
      <c r="M76" s="22">
        <v>0</v>
      </c>
      <c r="N76" s="147"/>
    </row>
    <row r="77" spans="1:14" ht="21.75" customHeight="1" x14ac:dyDescent="0.25">
      <c r="A77" s="111"/>
      <c r="B77" s="114"/>
      <c r="C77" s="116"/>
      <c r="D77" s="129"/>
      <c r="E77" s="117"/>
      <c r="F77" s="12" t="s">
        <v>17</v>
      </c>
      <c r="G77" s="22">
        <f>H77+I77+J77+K77+M77</f>
        <v>0</v>
      </c>
      <c r="H77" s="22">
        <v>0</v>
      </c>
      <c r="I77" s="22">
        <v>0</v>
      </c>
      <c r="J77" s="48">
        <v>0</v>
      </c>
      <c r="K77" s="22">
        <v>0</v>
      </c>
      <c r="L77" s="22">
        <v>0</v>
      </c>
      <c r="M77" s="22">
        <v>0</v>
      </c>
      <c r="N77" s="147"/>
    </row>
    <row r="78" spans="1:14" ht="21.75" customHeight="1" collapsed="1" x14ac:dyDescent="0.25">
      <c r="A78" s="109" t="s">
        <v>124</v>
      </c>
      <c r="B78" s="112" t="s">
        <v>125</v>
      </c>
      <c r="C78" s="115" t="s">
        <v>11</v>
      </c>
      <c r="D78" s="115" t="s">
        <v>113</v>
      </c>
      <c r="E78" s="115" t="s">
        <v>153</v>
      </c>
      <c r="F78" s="12" t="s">
        <v>14</v>
      </c>
      <c r="G78" s="22">
        <f t="shared" ref="G78:M78" si="22">G79+G80+G81</f>
        <v>342453.38</v>
      </c>
      <c r="H78" s="22">
        <f t="shared" si="22"/>
        <v>0</v>
      </c>
      <c r="I78" s="22">
        <f t="shared" si="22"/>
        <v>0</v>
      </c>
      <c r="J78" s="48">
        <f t="shared" si="22"/>
        <v>149349.60000000003</v>
      </c>
      <c r="K78" s="22">
        <f t="shared" si="22"/>
        <v>144827.78</v>
      </c>
      <c r="L78" s="22">
        <f t="shared" si="22"/>
        <v>48276</v>
      </c>
      <c r="M78" s="22">
        <f t="shared" si="22"/>
        <v>48276</v>
      </c>
      <c r="N78" s="147"/>
    </row>
    <row r="79" spans="1:14" ht="21.75" customHeight="1" x14ac:dyDescent="0.25">
      <c r="A79" s="110"/>
      <c r="B79" s="113"/>
      <c r="C79" s="116"/>
      <c r="D79" s="116"/>
      <c r="E79" s="116"/>
      <c r="F79" s="12" t="s">
        <v>133</v>
      </c>
      <c r="G79" s="22">
        <f>H79+I79+J79+K79+M79</f>
        <v>149352</v>
      </c>
      <c r="H79" s="22">
        <v>0</v>
      </c>
      <c r="I79" s="22">
        <v>0</v>
      </c>
      <c r="J79" s="48">
        <f>'[4]остатки средств в ФК_3'!$AI$100+'[4]остатки средств в ФК_3'!$AI$98</f>
        <v>52800.000000000015</v>
      </c>
      <c r="K79" s="22">
        <f>48276</f>
        <v>48276</v>
      </c>
      <c r="L79" s="22">
        <v>48276</v>
      </c>
      <c r="M79" s="22">
        <v>48276</v>
      </c>
      <c r="N79" s="147"/>
    </row>
    <row r="80" spans="1:14" ht="21.75" customHeight="1" x14ac:dyDescent="0.25">
      <c r="A80" s="110"/>
      <c r="B80" s="113"/>
      <c r="C80" s="116"/>
      <c r="D80" s="116"/>
      <c r="E80" s="116"/>
      <c r="F80" s="12" t="s">
        <v>16</v>
      </c>
      <c r="G80" s="22">
        <f>H80+I80+J80+K80+M80</f>
        <v>193101.38</v>
      </c>
      <c r="H80" s="22">
        <v>0</v>
      </c>
      <c r="I80" s="22">
        <v>0</v>
      </c>
      <c r="J80" s="48">
        <f>'[4]остатки средств в ФК_3'!$AH$100</f>
        <v>96549.6</v>
      </c>
      <c r="K80" s="48">
        <v>96551.78</v>
      </c>
      <c r="L80" s="48"/>
      <c r="M80" s="48"/>
      <c r="N80" s="147"/>
    </row>
    <row r="81" spans="1:15" ht="21.75" customHeight="1" x14ac:dyDescent="0.25">
      <c r="A81" s="111"/>
      <c r="B81" s="114"/>
      <c r="C81" s="117"/>
      <c r="D81" s="117"/>
      <c r="E81" s="117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47"/>
    </row>
    <row r="82" spans="1:15" ht="21.75" customHeight="1" x14ac:dyDescent="0.25">
      <c r="A82" s="109" t="s">
        <v>128</v>
      </c>
      <c r="B82" s="121" t="s">
        <v>22</v>
      </c>
      <c r="C82" s="115" t="s">
        <v>11</v>
      </c>
      <c r="D82" s="118" t="s">
        <v>27</v>
      </c>
      <c r="E82" s="115" t="s">
        <v>153</v>
      </c>
      <c r="F82" s="12" t="s">
        <v>14</v>
      </c>
      <c r="G82" s="22">
        <f t="shared" ref="G82:M82" si="23">G83+G84+G85</f>
        <v>5474764.5199999996</v>
      </c>
      <c r="H82" s="22">
        <f t="shared" si="23"/>
        <v>1006307</v>
      </c>
      <c r="I82" s="22">
        <f t="shared" si="23"/>
        <v>1385373.84</v>
      </c>
      <c r="J82" s="48">
        <f t="shared" si="23"/>
        <v>881623.68</v>
      </c>
      <c r="K82" s="22">
        <f t="shared" si="23"/>
        <v>1100730</v>
      </c>
      <c r="L82" s="22">
        <f>L83+L84+L85</f>
        <v>1100730</v>
      </c>
      <c r="M82" s="22">
        <f t="shared" si="23"/>
        <v>1100730</v>
      </c>
      <c r="N82" s="147"/>
    </row>
    <row r="83" spans="1:15" ht="21.75" customHeight="1" x14ac:dyDescent="0.25">
      <c r="A83" s="110"/>
      <c r="B83" s="122"/>
      <c r="C83" s="116"/>
      <c r="D83" s="119"/>
      <c r="E83" s="116"/>
      <c r="F83" s="12" t="s">
        <v>133</v>
      </c>
      <c r="G83" s="22">
        <f>H83+I83+J83+K83+M83</f>
        <v>5474764.5199999996</v>
      </c>
      <c r="H83" s="22">
        <v>1006307</v>
      </c>
      <c r="I83" s="22">
        <f>1199420.42+157723.37+28230.05</f>
        <v>1385373.84</v>
      </c>
      <c r="J83" s="48">
        <f>965822.81-130616.86+22367.74+24049.99</f>
        <v>881623.68</v>
      </c>
      <c r="K83" s="22">
        <v>1100730</v>
      </c>
      <c r="L83" s="22">
        <v>1100730</v>
      </c>
      <c r="M83" s="22">
        <v>1100730</v>
      </c>
      <c r="N83" s="147"/>
    </row>
    <row r="84" spans="1:15" ht="21.75" customHeight="1" x14ac:dyDescent="0.25">
      <c r="A84" s="110"/>
      <c r="B84" s="122"/>
      <c r="C84" s="116"/>
      <c r="D84" s="119"/>
      <c r="E84" s="116"/>
      <c r="F84" s="12" t="s">
        <v>16</v>
      </c>
      <c r="G84" s="22">
        <f>H84+I84+J84+K84+M84</f>
        <v>0</v>
      </c>
      <c r="H84" s="22">
        <v>0</v>
      </c>
      <c r="I84" s="22">
        <v>0</v>
      </c>
      <c r="J84" s="48">
        <v>0</v>
      </c>
      <c r="K84" s="22">
        <v>0</v>
      </c>
      <c r="L84" s="22">
        <v>0</v>
      </c>
      <c r="M84" s="22">
        <v>0</v>
      </c>
      <c r="N84" s="147"/>
    </row>
    <row r="85" spans="1:15" ht="21.75" customHeight="1" x14ac:dyDescent="0.25">
      <c r="A85" s="111"/>
      <c r="B85" s="123"/>
      <c r="C85" s="116"/>
      <c r="D85" s="120"/>
      <c r="E85" s="117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47"/>
    </row>
    <row r="86" spans="1:15" ht="21.75" customHeight="1" x14ac:dyDescent="0.25">
      <c r="A86" s="109" t="s">
        <v>144</v>
      </c>
      <c r="B86" s="121" t="s">
        <v>23</v>
      </c>
      <c r="C86" s="115" t="s">
        <v>11</v>
      </c>
      <c r="D86" s="118" t="s">
        <v>27</v>
      </c>
      <c r="E86" s="115" t="s">
        <v>153</v>
      </c>
      <c r="F86" s="12" t="s">
        <v>14</v>
      </c>
      <c r="G86" s="22">
        <f t="shared" ref="G86:M86" si="24">G87+G88+G89</f>
        <v>167983423.48999998</v>
      </c>
      <c r="H86" s="22">
        <f t="shared" si="24"/>
        <v>31798849</v>
      </c>
      <c r="I86" s="22">
        <f t="shared" si="24"/>
        <v>36091735.869999997</v>
      </c>
      <c r="J86" s="48">
        <f t="shared" si="24"/>
        <v>39884600.390000001</v>
      </c>
      <c r="K86" s="22">
        <f t="shared" si="24"/>
        <v>31831278.23</v>
      </c>
      <c r="L86" s="22">
        <f>L87+L88+L89</f>
        <v>34750000</v>
      </c>
      <c r="M86" s="22">
        <f t="shared" si="24"/>
        <v>28376960</v>
      </c>
      <c r="N86" s="147"/>
    </row>
    <row r="87" spans="1:15" ht="21.75" customHeight="1" x14ac:dyDescent="0.25">
      <c r="A87" s="110"/>
      <c r="B87" s="122"/>
      <c r="C87" s="116"/>
      <c r="D87" s="119"/>
      <c r="E87" s="116"/>
      <c r="F87" s="12" t="s">
        <v>133</v>
      </c>
      <c r="G87" s="22">
        <f>H87+I87+J87+K87+M87</f>
        <v>388968.69</v>
      </c>
      <c r="H87" s="22">
        <v>100000</v>
      </c>
      <c r="I87" s="22">
        <f>101833.11+23737.45</f>
        <v>125570.56</v>
      </c>
      <c r="J87" s="48">
        <v>99792.13</v>
      </c>
      <c r="K87" s="22">
        <v>63606</v>
      </c>
      <c r="L87" s="22">
        <v>0</v>
      </c>
      <c r="M87" s="22">
        <v>0</v>
      </c>
      <c r="N87" s="147"/>
    </row>
    <row r="88" spans="1:15" ht="21.75" customHeight="1" x14ac:dyDescent="0.25">
      <c r="A88" s="110"/>
      <c r="B88" s="122"/>
      <c r="C88" s="116"/>
      <c r="D88" s="119"/>
      <c r="E88" s="116"/>
      <c r="F88" s="12" t="s">
        <v>16</v>
      </c>
      <c r="G88" s="22">
        <f>H88+I88+J88+K88+M88</f>
        <v>167594454.79999998</v>
      </c>
      <c r="H88" s="22">
        <v>31698849</v>
      </c>
      <c r="I88" s="22">
        <f>35963535.87+2629.44</f>
        <v>35966165.309999995</v>
      </c>
      <c r="J88" s="48">
        <f>'[2]остатки средств в ФК_8'!$R$34+2040.87</f>
        <v>39784808.259999998</v>
      </c>
      <c r="K88" s="22">
        <v>31767672.23</v>
      </c>
      <c r="L88" s="22">
        <v>34750000</v>
      </c>
      <c r="M88" s="22">
        <f>'[16]СРБ на план. период_1'!$V$34</f>
        <v>28376960</v>
      </c>
      <c r="N88" s="147"/>
    </row>
    <row r="89" spans="1:15" ht="21.75" customHeight="1" x14ac:dyDescent="0.25">
      <c r="A89" s="111"/>
      <c r="B89" s="123"/>
      <c r="C89" s="116"/>
      <c r="D89" s="120"/>
      <c r="E89" s="117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47"/>
    </row>
    <row r="90" spans="1:15" ht="21.75" hidden="1" customHeight="1" outlineLevel="1" x14ac:dyDescent="0.25">
      <c r="A90" s="109" t="s">
        <v>38</v>
      </c>
      <c r="B90" s="112" t="s">
        <v>39</v>
      </c>
      <c r="C90" s="115" t="s">
        <v>11</v>
      </c>
      <c r="D90" s="118" t="s">
        <v>27</v>
      </c>
      <c r="E90" s="115" t="s">
        <v>153</v>
      </c>
      <c r="F90" s="12" t="s">
        <v>14</v>
      </c>
      <c r="G90" s="22">
        <f t="shared" ref="G90:M90" si="25">G91+G92+G93</f>
        <v>0</v>
      </c>
      <c r="H90" s="22">
        <f t="shared" si="25"/>
        <v>0</v>
      </c>
      <c r="I90" s="22">
        <f t="shared" si="25"/>
        <v>0</v>
      </c>
      <c r="J90" s="48">
        <f t="shared" si="25"/>
        <v>0</v>
      </c>
      <c r="K90" s="22">
        <f t="shared" si="25"/>
        <v>0</v>
      </c>
      <c r="L90" s="22">
        <f>L91+L92+L93</f>
        <v>0</v>
      </c>
      <c r="M90" s="22">
        <f t="shared" si="25"/>
        <v>0</v>
      </c>
      <c r="N90" s="147"/>
    </row>
    <row r="91" spans="1:15" ht="21.75" hidden="1" customHeight="1" outlineLevel="1" x14ac:dyDescent="0.25">
      <c r="A91" s="110"/>
      <c r="B91" s="113"/>
      <c r="C91" s="116"/>
      <c r="D91" s="119"/>
      <c r="E91" s="116"/>
      <c r="F91" s="12" t="s">
        <v>133</v>
      </c>
      <c r="G91" s="22">
        <f>H91+I91+J91+K91+M91</f>
        <v>0</v>
      </c>
      <c r="H91" s="22">
        <v>0</v>
      </c>
      <c r="I91" s="22">
        <v>0</v>
      </c>
      <c r="J91" s="48">
        <v>0</v>
      </c>
      <c r="K91" s="22">
        <v>0</v>
      </c>
      <c r="L91" s="22">
        <v>0</v>
      </c>
      <c r="M91" s="22">
        <v>0</v>
      </c>
      <c r="N91" s="147"/>
    </row>
    <row r="92" spans="1:15" ht="21.75" hidden="1" customHeight="1" outlineLevel="1" x14ac:dyDescent="0.25">
      <c r="A92" s="110"/>
      <c r="B92" s="113"/>
      <c r="C92" s="116"/>
      <c r="D92" s="119"/>
      <c r="E92" s="116"/>
      <c r="F92" s="12" t="s">
        <v>16</v>
      </c>
      <c r="G92" s="22">
        <f>H92+I92+J92+K92+M92</f>
        <v>0</v>
      </c>
      <c r="H92" s="22">
        <v>0</v>
      </c>
      <c r="I92" s="22">
        <v>0</v>
      </c>
      <c r="J92" s="48">
        <v>0</v>
      </c>
      <c r="K92" s="22">
        <v>0</v>
      </c>
      <c r="L92" s="22">
        <v>0</v>
      </c>
      <c r="M92" s="22">
        <v>0</v>
      </c>
      <c r="N92" s="147"/>
    </row>
    <row r="93" spans="1:15" ht="21.75" hidden="1" customHeight="1" outlineLevel="1" x14ac:dyDescent="0.25">
      <c r="A93" s="111"/>
      <c r="B93" s="114"/>
      <c r="C93" s="116"/>
      <c r="D93" s="120"/>
      <c r="E93" s="117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47"/>
    </row>
    <row r="94" spans="1:15" ht="21.75" hidden="1" customHeight="1" outlineLevel="1" x14ac:dyDescent="0.25">
      <c r="A94" s="109" t="s">
        <v>46</v>
      </c>
      <c r="B94" s="112" t="s">
        <v>47</v>
      </c>
      <c r="C94" s="115" t="s">
        <v>11</v>
      </c>
      <c r="D94" s="118" t="s">
        <v>27</v>
      </c>
      <c r="E94" s="115" t="s">
        <v>153</v>
      </c>
      <c r="F94" s="12" t="s">
        <v>14</v>
      </c>
      <c r="G94" s="22">
        <f t="shared" ref="G94:M94" si="26">G95+G96+G97</f>
        <v>0</v>
      </c>
      <c r="H94" s="22">
        <f t="shared" si="26"/>
        <v>0</v>
      </c>
      <c r="I94" s="22">
        <f t="shared" si="26"/>
        <v>0</v>
      </c>
      <c r="J94" s="22">
        <f t="shared" si="26"/>
        <v>0</v>
      </c>
      <c r="K94" s="22">
        <f t="shared" si="26"/>
        <v>0</v>
      </c>
      <c r="L94" s="22">
        <f>L95+L96+L97</f>
        <v>0</v>
      </c>
      <c r="M94" s="22">
        <f t="shared" si="26"/>
        <v>0</v>
      </c>
      <c r="N94" s="147"/>
    </row>
    <row r="95" spans="1:15" ht="21.75" hidden="1" customHeight="1" outlineLevel="1" x14ac:dyDescent="0.25">
      <c r="A95" s="110"/>
      <c r="B95" s="113"/>
      <c r="C95" s="116"/>
      <c r="D95" s="119"/>
      <c r="E95" s="116"/>
      <c r="F95" s="12" t="s">
        <v>133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47"/>
    </row>
    <row r="96" spans="1:15" ht="21.75" hidden="1" customHeight="1" outlineLevel="1" x14ac:dyDescent="0.25">
      <c r="A96" s="110"/>
      <c r="B96" s="113"/>
      <c r="C96" s="116"/>
      <c r="D96" s="119"/>
      <c r="E96" s="116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47"/>
      <c r="O96" s="9"/>
    </row>
    <row r="97" spans="1:16" ht="21.75" hidden="1" customHeight="1" outlineLevel="1" x14ac:dyDescent="0.25">
      <c r="A97" s="111"/>
      <c r="B97" s="114"/>
      <c r="C97" s="116"/>
      <c r="D97" s="120"/>
      <c r="E97" s="117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48"/>
    </row>
    <row r="98" spans="1:16" ht="21.75" customHeight="1" collapsed="1" x14ac:dyDescent="0.25">
      <c r="A98" s="177"/>
      <c r="B98" s="180" t="s">
        <v>49</v>
      </c>
      <c r="C98" s="172" t="s">
        <v>11</v>
      </c>
      <c r="D98" s="174" t="s">
        <v>50</v>
      </c>
      <c r="E98" s="172" t="s">
        <v>153</v>
      </c>
      <c r="F98" s="37" t="s">
        <v>14</v>
      </c>
      <c r="G98" s="38">
        <f t="shared" ref="G98:M98" si="27">G99+G100+G101</f>
        <v>507627596.42000002</v>
      </c>
      <c r="H98" s="38">
        <f>H99+H100+H101</f>
        <v>84734080.780000001</v>
      </c>
      <c r="I98" s="38">
        <f>I99+I100+I101</f>
        <v>96308847.780000001</v>
      </c>
      <c r="J98" s="38">
        <f>J99+J100+J101</f>
        <v>101161763.69</v>
      </c>
      <c r="K98" s="38">
        <f t="shared" si="27"/>
        <v>111369849.59</v>
      </c>
      <c r="L98" s="38">
        <f>L99+L100+L101</f>
        <v>112959582.03</v>
      </c>
      <c r="M98" s="38">
        <f t="shared" si="27"/>
        <v>114053054.58</v>
      </c>
      <c r="N98" s="184" t="s">
        <v>51</v>
      </c>
    </row>
    <row r="99" spans="1:16" ht="21.75" customHeight="1" x14ac:dyDescent="0.25">
      <c r="A99" s="178"/>
      <c r="B99" s="181"/>
      <c r="C99" s="173"/>
      <c r="D99" s="175"/>
      <c r="E99" s="173"/>
      <c r="F99" s="37" t="s">
        <v>133</v>
      </c>
      <c r="G99" s="38">
        <f>H99+I99+J99+K99+M99</f>
        <v>107049906.11</v>
      </c>
      <c r="H99" s="38">
        <f t="shared" ref="H99:M101" si="28">H103+H119+H107+H111+H115+H123</f>
        <v>18875528.780000001</v>
      </c>
      <c r="I99" s="38">
        <f t="shared" si="28"/>
        <v>18939692.490000002</v>
      </c>
      <c r="J99" s="38">
        <f t="shared" si="28"/>
        <v>20821117.829999998</v>
      </c>
      <c r="K99" s="38">
        <f t="shared" si="28"/>
        <v>24995167.82</v>
      </c>
      <c r="L99" s="38">
        <f t="shared" si="28"/>
        <v>23519028.940000001</v>
      </c>
      <c r="M99" s="38">
        <f t="shared" si="28"/>
        <v>23418399.190000001</v>
      </c>
      <c r="N99" s="185"/>
    </row>
    <row r="100" spans="1:16" ht="21.75" customHeight="1" x14ac:dyDescent="0.25">
      <c r="A100" s="178"/>
      <c r="B100" s="181"/>
      <c r="C100" s="173"/>
      <c r="D100" s="175"/>
      <c r="E100" s="173"/>
      <c r="F100" s="37" t="s">
        <v>16</v>
      </c>
      <c r="G100" s="38">
        <f>H100+I100+J100+K100+M100</f>
        <v>400577690.31</v>
      </c>
      <c r="H100" s="38">
        <f t="shared" si="28"/>
        <v>65858552</v>
      </c>
      <c r="I100" s="38">
        <f t="shared" si="28"/>
        <v>77369155.290000007</v>
      </c>
      <c r="J100" s="38">
        <f t="shared" si="28"/>
        <v>80340645.859999999</v>
      </c>
      <c r="K100" s="38">
        <f t="shared" si="28"/>
        <v>86374681.769999996</v>
      </c>
      <c r="L100" s="38">
        <f t="shared" si="28"/>
        <v>89440553.090000004</v>
      </c>
      <c r="M100" s="38">
        <f t="shared" si="28"/>
        <v>90634655.390000001</v>
      </c>
      <c r="N100" s="185"/>
    </row>
    <row r="101" spans="1:16" ht="21.75" customHeight="1" x14ac:dyDescent="0.25">
      <c r="A101" s="179"/>
      <c r="B101" s="182"/>
      <c r="C101" s="183"/>
      <c r="D101" s="176"/>
      <c r="E101" s="183"/>
      <c r="F101" s="37" t="s">
        <v>17</v>
      </c>
      <c r="G101" s="38">
        <f>H101+I101+J101+K101+M101</f>
        <v>0</v>
      </c>
      <c r="H101" s="38">
        <f t="shared" si="28"/>
        <v>0</v>
      </c>
      <c r="I101" s="38">
        <f t="shared" si="28"/>
        <v>0</v>
      </c>
      <c r="J101" s="38">
        <f t="shared" si="28"/>
        <v>0</v>
      </c>
      <c r="K101" s="38">
        <f t="shared" si="28"/>
        <v>0</v>
      </c>
      <c r="L101" s="38">
        <f t="shared" si="28"/>
        <v>0</v>
      </c>
      <c r="M101" s="38">
        <f t="shared" si="28"/>
        <v>0</v>
      </c>
      <c r="N101" s="185"/>
    </row>
    <row r="102" spans="1:16" ht="21.75" customHeight="1" x14ac:dyDescent="0.25">
      <c r="A102" s="109" t="s">
        <v>18</v>
      </c>
      <c r="B102" s="112" t="s">
        <v>52</v>
      </c>
      <c r="C102" s="115" t="s">
        <v>11</v>
      </c>
      <c r="D102" s="118" t="s">
        <v>42</v>
      </c>
      <c r="E102" s="115" t="s">
        <v>153</v>
      </c>
      <c r="F102" s="12" t="s">
        <v>14</v>
      </c>
      <c r="G102" s="22">
        <f t="shared" ref="G102:M102" si="29">G103+G104+G105</f>
        <v>425179351.14458436</v>
      </c>
      <c r="H102" s="22">
        <f t="shared" si="29"/>
        <v>75848880.460000008</v>
      </c>
      <c r="I102" s="22">
        <f t="shared" si="29"/>
        <v>78759959.739999995</v>
      </c>
      <c r="J102" s="48">
        <f t="shared" si="29"/>
        <v>81872994.930000007</v>
      </c>
      <c r="K102" s="22">
        <f t="shared" si="29"/>
        <v>92851833.820000008</v>
      </c>
      <c r="L102" s="22">
        <f>L103+L104+L105</f>
        <v>94216299.94458437</v>
      </c>
      <c r="M102" s="22">
        <f t="shared" si="29"/>
        <v>95845682.19458437</v>
      </c>
      <c r="N102" s="185"/>
    </row>
    <row r="103" spans="1:16" ht="21.75" customHeight="1" x14ac:dyDescent="0.25">
      <c r="A103" s="110"/>
      <c r="B103" s="113"/>
      <c r="C103" s="116"/>
      <c r="D103" s="119"/>
      <c r="E103" s="116"/>
      <c r="F103" s="12" t="s">
        <v>133</v>
      </c>
      <c r="G103" s="22">
        <f>H103+I103+J103+K103+M103</f>
        <v>92434758.050000012</v>
      </c>
      <c r="H103" s="22">
        <v>17880557.460000001</v>
      </c>
      <c r="I103" s="22">
        <f>15484283.05-117000+1049417.39</f>
        <v>16416700.440000001</v>
      </c>
      <c r="J103" s="48">
        <f>17127247+366899</f>
        <v>17494146</v>
      </c>
      <c r="K103" s="22">
        <v>21113787.390000001</v>
      </c>
      <c r="L103" s="22">
        <v>19634116.510000002</v>
      </c>
      <c r="M103" s="22">
        <v>19529566.760000002</v>
      </c>
      <c r="N103" s="185"/>
      <c r="O103" s="10"/>
      <c r="P103" s="7"/>
    </row>
    <row r="104" spans="1:16" ht="21.75" customHeight="1" x14ac:dyDescent="0.25">
      <c r="A104" s="110"/>
      <c r="B104" s="113"/>
      <c r="C104" s="116"/>
      <c r="D104" s="119"/>
      <c r="E104" s="116"/>
      <c r="F104" s="12" t="s">
        <v>16</v>
      </c>
      <c r="G104" s="22">
        <f>H104+I104+J104+K104+M104</f>
        <v>332744593.09458435</v>
      </c>
      <c r="H104" s="22">
        <f>57968323</f>
        <v>57968323</v>
      </c>
      <c r="I104" s="22">
        <f>62343259.3</f>
        <v>62343259.299999997</v>
      </c>
      <c r="J104" s="48">
        <f>64378848.93</f>
        <v>64378848.93</v>
      </c>
      <c r="K104" s="22">
        <v>71738046.430000007</v>
      </c>
      <c r="L104" s="22">
        <v>74582183.434584364</v>
      </c>
      <c r="M104" s="22">
        <v>76316115.434584364</v>
      </c>
      <c r="N104" s="185"/>
    </row>
    <row r="105" spans="1:16" ht="21.75" customHeight="1" x14ac:dyDescent="0.25">
      <c r="A105" s="111"/>
      <c r="B105" s="114"/>
      <c r="C105" s="116"/>
      <c r="D105" s="120"/>
      <c r="E105" s="117"/>
      <c r="F105" s="12" t="s">
        <v>17</v>
      </c>
      <c r="G105" s="22">
        <f>H105+I105+J105+K105+M105</f>
        <v>0</v>
      </c>
      <c r="H105" s="22">
        <v>0</v>
      </c>
      <c r="I105" s="22">
        <v>0</v>
      </c>
      <c r="J105" s="48">
        <v>0</v>
      </c>
      <c r="K105" s="22">
        <v>0</v>
      </c>
      <c r="L105" s="22">
        <v>0</v>
      </c>
      <c r="M105" s="22">
        <v>0</v>
      </c>
      <c r="N105" s="185"/>
    </row>
    <row r="106" spans="1:16" ht="21.75" customHeight="1" outlineLevel="1" x14ac:dyDescent="0.25">
      <c r="A106" s="109" t="s">
        <v>25</v>
      </c>
      <c r="B106" s="112" t="s">
        <v>109</v>
      </c>
      <c r="C106" s="115" t="s">
        <v>11</v>
      </c>
      <c r="D106" s="118" t="s">
        <v>42</v>
      </c>
      <c r="E106" s="115" t="s">
        <v>153</v>
      </c>
      <c r="F106" s="12" t="s">
        <v>14</v>
      </c>
      <c r="G106" s="22">
        <f t="shared" ref="G106:M106" si="30">G107+G108+G109</f>
        <v>0</v>
      </c>
      <c r="H106" s="22">
        <f t="shared" si="30"/>
        <v>0</v>
      </c>
      <c r="I106" s="22">
        <f t="shared" si="30"/>
        <v>0</v>
      </c>
      <c r="J106" s="22">
        <f t="shared" si="30"/>
        <v>0</v>
      </c>
      <c r="K106" s="22">
        <f t="shared" si="30"/>
        <v>0</v>
      </c>
      <c r="L106" s="22">
        <f t="shared" si="30"/>
        <v>0</v>
      </c>
      <c r="M106" s="22">
        <f t="shared" si="30"/>
        <v>0</v>
      </c>
      <c r="N106" s="185"/>
    </row>
    <row r="107" spans="1:16" ht="21.75" customHeight="1" outlineLevel="1" x14ac:dyDescent="0.25">
      <c r="A107" s="110"/>
      <c r="B107" s="113"/>
      <c r="C107" s="116"/>
      <c r="D107" s="119"/>
      <c r="E107" s="116"/>
      <c r="F107" s="12" t="s">
        <v>15</v>
      </c>
      <c r="G107" s="22">
        <f>H107+I107+J107+K107+M107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185"/>
    </row>
    <row r="108" spans="1:16" ht="21.75" customHeight="1" outlineLevel="1" x14ac:dyDescent="0.25">
      <c r="A108" s="110"/>
      <c r="B108" s="113"/>
      <c r="C108" s="116"/>
      <c r="D108" s="119"/>
      <c r="E108" s="116"/>
      <c r="F108" s="12" t="s">
        <v>16</v>
      </c>
      <c r="G108" s="22">
        <f>H108+I108+J108+K108+M108</f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185"/>
    </row>
    <row r="109" spans="1:16" ht="21.75" customHeight="1" outlineLevel="1" x14ac:dyDescent="0.25">
      <c r="A109" s="111"/>
      <c r="B109" s="114"/>
      <c r="C109" s="116"/>
      <c r="D109" s="120"/>
      <c r="E109" s="117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185"/>
    </row>
    <row r="110" spans="1:16" ht="21.75" customHeight="1" outlineLevel="1" x14ac:dyDescent="0.25">
      <c r="A110" s="109" t="s">
        <v>44</v>
      </c>
      <c r="B110" s="112" t="s">
        <v>110</v>
      </c>
      <c r="C110" s="115" t="s">
        <v>11</v>
      </c>
      <c r="D110" s="118" t="s">
        <v>42</v>
      </c>
      <c r="E110" s="115" t="s">
        <v>153</v>
      </c>
      <c r="F110" s="12" t="s">
        <v>14</v>
      </c>
      <c r="G110" s="22">
        <f t="shared" ref="G110:M110" si="31">G111+G112+G113</f>
        <v>0</v>
      </c>
      <c r="H110" s="22">
        <f t="shared" si="31"/>
        <v>0</v>
      </c>
      <c r="I110" s="22">
        <f t="shared" si="31"/>
        <v>0</v>
      </c>
      <c r="J110" s="22">
        <f t="shared" si="31"/>
        <v>0</v>
      </c>
      <c r="K110" s="22">
        <f t="shared" si="31"/>
        <v>0</v>
      </c>
      <c r="L110" s="22">
        <f t="shared" si="31"/>
        <v>0</v>
      </c>
      <c r="M110" s="22">
        <f t="shared" si="31"/>
        <v>0</v>
      </c>
      <c r="N110" s="185"/>
    </row>
    <row r="111" spans="1:16" ht="21.75" customHeight="1" outlineLevel="1" x14ac:dyDescent="0.25">
      <c r="A111" s="110"/>
      <c r="B111" s="113"/>
      <c r="C111" s="116"/>
      <c r="D111" s="119"/>
      <c r="E111" s="116"/>
      <c r="F111" s="12" t="s">
        <v>15</v>
      </c>
      <c r="G111" s="23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85"/>
    </row>
    <row r="112" spans="1:16" ht="21.75" customHeight="1" outlineLevel="1" x14ac:dyDescent="0.25">
      <c r="A112" s="110"/>
      <c r="B112" s="113"/>
      <c r="C112" s="116"/>
      <c r="D112" s="119"/>
      <c r="E112" s="116"/>
      <c r="F112" s="12" t="s">
        <v>16</v>
      </c>
      <c r="G112" s="23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85"/>
    </row>
    <row r="113" spans="1:14" ht="21.75" customHeight="1" outlineLevel="1" x14ac:dyDescent="0.25">
      <c r="A113" s="111"/>
      <c r="B113" s="114"/>
      <c r="C113" s="116"/>
      <c r="D113" s="120"/>
      <c r="E113" s="117"/>
      <c r="F113" s="12" t="s">
        <v>17</v>
      </c>
      <c r="G113" s="23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85"/>
    </row>
    <row r="114" spans="1:14" ht="21.75" customHeight="1" x14ac:dyDescent="0.25">
      <c r="A114" s="109" t="s">
        <v>112</v>
      </c>
      <c r="B114" s="121" t="s">
        <v>156</v>
      </c>
      <c r="C114" s="115" t="s">
        <v>11</v>
      </c>
      <c r="D114" s="118" t="s">
        <v>55</v>
      </c>
      <c r="E114" s="115" t="s">
        <v>153</v>
      </c>
      <c r="F114" s="12" t="s">
        <v>14</v>
      </c>
      <c r="G114" s="22">
        <f t="shared" ref="G114:M114" si="32">G115+G116+G117</f>
        <v>62842050.93541564</v>
      </c>
      <c r="H114" s="22">
        <f t="shared" si="32"/>
        <v>4920882.5</v>
      </c>
      <c r="I114" s="22">
        <f t="shared" si="32"/>
        <v>13636058.439999999</v>
      </c>
      <c r="J114" s="48">
        <f t="shared" si="32"/>
        <v>14165280</v>
      </c>
      <c r="K114" s="22">
        <f t="shared" si="32"/>
        <v>14957350</v>
      </c>
      <c r="L114" s="22">
        <f t="shared" si="32"/>
        <v>15054579.995415632</v>
      </c>
      <c r="M114" s="22">
        <f t="shared" si="32"/>
        <v>15162479.995415632</v>
      </c>
      <c r="N114" s="185"/>
    </row>
    <row r="115" spans="1:14" ht="21.75" customHeight="1" x14ac:dyDescent="0.25">
      <c r="A115" s="110"/>
      <c r="B115" s="122"/>
      <c r="C115" s="116"/>
      <c r="D115" s="119"/>
      <c r="E115" s="116"/>
      <c r="F115" s="12" t="s">
        <v>15</v>
      </c>
      <c r="G115" s="22">
        <f>H115+I115+J115+K115+M115</f>
        <v>14266347.029999999</v>
      </c>
      <c r="H115" s="22">
        <f>845990.48+96482.96-233.44+4193.5</f>
        <v>946433.5</v>
      </c>
      <c r="I115" s="22">
        <f>2724868.3-76260.5*3-76260.06</f>
        <v>2419826.7399999998</v>
      </c>
      <c r="J115" s="48">
        <v>3245713.93</v>
      </c>
      <c r="K115" s="22">
        <v>3823460.43</v>
      </c>
      <c r="L115" s="22">
        <v>3826992.43</v>
      </c>
      <c r="M115" s="22">
        <v>3830912.43</v>
      </c>
      <c r="N115" s="185"/>
    </row>
    <row r="116" spans="1:14" ht="21.75" customHeight="1" x14ac:dyDescent="0.25">
      <c r="A116" s="110"/>
      <c r="B116" s="122"/>
      <c r="C116" s="116"/>
      <c r="D116" s="119"/>
      <c r="E116" s="116"/>
      <c r="F116" s="12" t="s">
        <v>16</v>
      </c>
      <c r="G116" s="22">
        <f>H116+I116+J116+K116+M116</f>
        <v>48575703.905415639</v>
      </c>
      <c r="H116" s="22">
        <f>3768960+205489</f>
        <v>3974449</v>
      </c>
      <c r="I116" s="22">
        <v>11216231.699999999</v>
      </c>
      <c r="J116" s="48">
        <v>10919566.07</v>
      </c>
      <c r="K116" s="22">
        <v>11133889.57</v>
      </c>
      <c r="L116" s="22">
        <v>11227587.565415632</v>
      </c>
      <c r="M116" s="22">
        <v>11331567.565415632</v>
      </c>
      <c r="N116" s="185"/>
    </row>
    <row r="117" spans="1:14" ht="21.75" customHeight="1" x14ac:dyDescent="0.25">
      <c r="A117" s="111"/>
      <c r="B117" s="123"/>
      <c r="C117" s="116"/>
      <c r="D117" s="120"/>
      <c r="E117" s="117"/>
      <c r="F117" s="12" t="s">
        <v>17</v>
      </c>
      <c r="G117" s="22">
        <f>H117+I117+J117+K117+M117</f>
        <v>0</v>
      </c>
      <c r="H117" s="22">
        <v>0</v>
      </c>
      <c r="I117" s="22">
        <v>0</v>
      </c>
      <c r="J117" s="48">
        <v>0</v>
      </c>
      <c r="K117" s="22">
        <v>0</v>
      </c>
      <c r="L117" s="22">
        <v>0</v>
      </c>
      <c r="M117" s="22">
        <v>0</v>
      </c>
      <c r="N117" s="185"/>
    </row>
    <row r="118" spans="1:14" ht="21.75" customHeight="1" x14ac:dyDescent="0.25">
      <c r="A118" s="109" t="s">
        <v>128</v>
      </c>
      <c r="B118" s="121" t="s">
        <v>22</v>
      </c>
      <c r="C118" s="115" t="s">
        <v>11</v>
      </c>
      <c r="D118" s="118" t="s">
        <v>42</v>
      </c>
      <c r="E118" s="115" t="s">
        <v>153</v>
      </c>
      <c r="F118" s="12" t="s">
        <v>14</v>
      </c>
      <c r="G118" s="22">
        <f t="shared" ref="G118:M118" si="33">G119+G120+G121</f>
        <v>348801.03</v>
      </c>
      <c r="H118" s="22">
        <f t="shared" si="33"/>
        <v>48537.82</v>
      </c>
      <c r="I118" s="22">
        <f t="shared" si="33"/>
        <v>103165.31</v>
      </c>
      <c r="J118" s="48">
        <f t="shared" si="33"/>
        <v>81257.899999999994</v>
      </c>
      <c r="K118" s="22">
        <f t="shared" si="33"/>
        <v>57920</v>
      </c>
      <c r="L118" s="22">
        <f>L119+L120+L121</f>
        <v>57920</v>
      </c>
      <c r="M118" s="22">
        <f t="shared" si="33"/>
        <v>57920</v>
      </c>
      <c r="N118" s="185"/>
    </row>
    <row r="119" spans="1:14" ht="21.75" customHeight="1" x14ac:dyDescent="0.25">
      <c r="A119" s="110"/>
      <c r="B119" s="122"/>
      <c r="C119" s="116"/>
      <c r="D119" s="119"/>
      <c r="E119" s="116"/>
      <c r="F119" s="12" t="s">
        <v>133</v>
      </c>
      <c r="G119" s="22">
        <f>H119+I119+J119+K119+M119</f>
        <v>348801.03</v>
      </c>
      <c r="H119" s="22">
        <f>48538-0.18</f>
        <v>48537.82</v>
      </c>
      <c r="I119" s="22">
        <f>94165.31+9000</f>
        <v>103165.31</v>
      </c>
      <c r="J119" s="48">
        <v>81257.899999999994</v>
      </c>
      <c r="K119" s="22">
        <v>57920</v>
      </c>
      <c r="L119" s="22">
        <v>57920</v>
      </c>
      <c r="M119" s="22">
        <v>57920</v>
      </c>
      <c r="N119" s="185"/>
    </row>
    <row r="120" spans="1:14" ht="21.75" customHeight="1" x14ac:dyDescent="0.25">
      <c r="A120" s="110"/>
      <c r="B120" s="122"/>
      <c r="C120" s="116"/>
      <c r="D120" s="119"/>
      <c r="E120" s="116"/>
      <c r="F120" s="12" t="s">
        <v>16</v>
      </c>
      <c r="G120" s="22">
        <f>H120+I120+J120+K120+M120</f>
        <v>0</v>
      </c>
      <c r="H120" s="22">
        <v>0</v>
      </c>
      <c r="I120" s="22">
        <v>0</v>
      </c>
      <c r="J120" s="48">
        <v>0</v>
      </c>
      <c r="K120" s="22">
        <v>0</v>
      </c>
      <c r="L120" s="22">
        <v>0</v>
      </c>
      <c r="M120" s="22">
        <v>0</v>
      </c>
      <c r="N120" s="185"/>
    </row>
    <row r="121" spans="1:14" ht="21.75" customHeight="1" x14ac:dyDescent="0.25">
      <c r="A121" s="111"/>
      <c r="B121" s="123"/>
      <c r="C121" s="116"/>
      <c r="D121" s="120"/>
      <c r="E121" s="117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85"/>
    </row>
    <row r="122" spans="1:14" ht="21.75" customHeight="1" x14ac:dyDescent="0.25">
      <c r="A122" s="109" t="s">
        <v>144</v>
      </c>
      <c r="B122" s="121" t="s">
        <v>23</v>
      </c>
      <c r="C122" s="115" t="s">
        <v>11</v>
      </c>
      <c r="D122" s="118" t="s">
        <v>147</v>
      </c>
      <c r="E122" s="115" t="s">
        <v>153</v>
      </c>
      <c r="F122" s="12" t="s">
        <v>14</v>
      </c>
      <c r="G122" s="22">
        <f t="shared" ref="G122:M122" si="34">G123+G124+G125</f>
        <v>19257393.309999999</v>
      </c>
      <c r="H122" s="22">
        <f t="shared" si="34"/>
        <v>3915780</v>
      </c>
      <c r="I122" s="22">
        <f t="shared" si="34"/>
        <v>3809664.29</v>
      </c>
      <c r="J122" s="48">
        <f t="shared" si="34"/>
        <v>5042230.8599999994</v>
      </c>
      <c r="K122" s="22">
        <f t="shared" si="34"/>
        <v>3502745.77</v>
      </c>
      <c r="L122" s="22">
        <f>L123+L124+L125</f>
        <v>3630782.09</v>
      </c>
      <c r="M122" s="22">
        <f t="shared" si="34"/>
        <v>2986972.3899999997</v>
      </c>
      <c r="N122" s="185"/>
    </row>
    <row r="123" spans="1:14" ht="21.75" customHeight="1" x14ac:dyDescent="0.25">
      <c r="A123" s="110"/>
      <c r="B123" s="122"/>
      <c r="C123" s="116"/>
      <c r="D123" s="119"/>
      <c r="E123" s="116"/>
      <c r="F123" s="12" t="s">
        <v>133</v>
      </c>
      <c r="G123" s="22">
        <f>H123+I123+J123+K123+M123</f>
        <v>0</v>
      </c>
      <c r="H123" s="22">
        <v>0</v>
      </c>
      <c r="I123" s="22">
        <v>0</v>
      </c>
      <c r="J123" s="48">
        <v>0</v>
      </c>
      <c r="K123" s="22">
        <v>0</v>
      </c>
      <c r="L123" s="22">
        <v>0</v>
      </c>
      <c r="M123" s="22">
        <v>0</v>
      </c>
      <c r="N123" s="185"/>
    </row>
    <row r="124" spans="1:14" ht="21.75" customHeight="1" x14ac:dyDescent="0.25">
      <c r="A124" s="110"/>
      <c r="B124" s="122"/>
      <c r="C124" s="116"/>
      <c r="D124" s="119"/>
      <c r="E124" s="116"/>
      <c r="F124" s="12" t="s">
        <v>16</v>
      </c>
      <c r="G124" s="22">
        <f>H124+I124+J124+K124+M124</f>
        <v>19257393.309999999</v>
      </c>
      <c r="H124" s="22">
        <f>1513280+2402500</f>
        <v>3915780</v>
      </c>
      <c r="I124" s="22">
        <f>1178210+2631454.29</f>
        <v>3809664.29</v>
      </c>
      <c r="J124" s="48">
        <f>'[2]остатки средств в ФК_8'!$R$74+'[2]остатки средств в ФК_8'!$R$16</f>
        <v>5042230.8599999994</v>
      </c>
      <c r="K124" s="22">
        <v>3502745.77</v>
      </c>
      <c r="L124" s="22">
        <v>3630782.09</v>
      </c>
      <c r="M124" s="22">
        <f>'[16]СРБ на план. период_1'!$V$66+'[16]СРБ на план. период_1'!$V$13</f>
        <v>2986972.3899999997</v>
      </c>
      <c r="N124" s="185"/>
    </row>
    <row r="125" spans="1:14" ht="21.75" customHeight="1" x14ac:dyDescent="0.25">
      <c r="A125" s="111"/>
      <c r="B125" s="123"/>
      <c r="C125" s="116"/>
      <c r="D125" s="120"/>
      <c r="E125" s="117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85"/>
    </row>
    <row r="126" spans="1:14" ht="21.75" customHeight="1" x14ac:dyDescent="0.25">
      <c r="A126" s="177"/>
      <c r="B126" s="180" t="s">
        <v>57</v>
      </c>
      <c r="C126" s="172" t="s">
        <v>11</v>
      </c>
      <c r="D126" s="174" t="s">
        <v>55</v>
      </c>
      <c r="E126" s="172" t="s">
        <v>153</v>
      </c>
      <c r="F126" s="37" t="s">
        <v>14</v>
      </c>
      <c r="G126" s="38">
        <f t="shared" ref="G126:M126" si="35">G127+G128+G129</f>
        <v>106602214.7</v>
      </c>
      <c r="H126" s="38">
        <f>H127+H128+H129</f>
        <v>11501858.800000001</v>
      </c>
      <c r="I126" s="38">
        <f>I127+I128+I129</f>
        <v>20053625.789999999</v>
      </c>
      <c r="J126" s="38">
        <f>J127+J128+J129</f>
        <v>23607892.009999998</v>
      </c>
      <c r="K126" s="38">
        <f t="shared" si="35"/>
        <v>27963673.77</v>
      </c>
      <c r="L126" s="38">
        <f>L127+L128+L129</f>
        <v>24153926.329999998</v>
      </c>
      <c r="M126" s="38">
        <f t="shared" si="35"/>
        <v>23475164.329999998</v>
      </c>
      <c r="N126" s="146"/>
    </row>
    <row r="127" spans="1:14" ht="21.75" customHeight="1" x14ac:dyDescent="0.25">
      <c r="A127" s="178"/>
      <c r="B127" s="181"/>
      <c r="C127" s="173"/>
      <c r="D127" s="175"/>
      <c r="E127" s="173"/>
      <c r="F127" s="37" t="s">
        <v>133</v>
      </c>
      <c r="G127" s="38">
        <f>H127+I127+J127+K127+M127</f>
        <v>20818843.09</v>
      </c>
      <c r="H127" s="38">
        <f t="shared" ref="H127:I129" si="36">+H131+H135+H139+H143+H147+H151</f>
        <v>1291281.29</v>
      </c>
      <c r="I127" s="38">
        <f t="shared" si="36"/>
        <v>2153726.31</v>
      </c>
      <c r="J127" s="38">
        <f>+J131+J135+J139+J143+J147+J151+J155</f>
        <v>5780842.8499999996</v>
      </c>
      <c r="K127" s="38">
        <f>+K131+K135+K139+K143+K147+K151+K155</f>
        <v>7104224.1900000004</v>
      </c>
      <c r="L127" s="38">
        <f>+L131+L135+L139+L143+L147+L151+L155</f>
        <v>4489443.82</v>
      </c>
      <c r="M127" s="38">
        <f>+M131+M135+M139+M143+M147+M151+M155</f>
        <v>4488768.45</v>
      </c>
      <c r="N127" s="147"/>
    </row>
    <row r="128" spans="1:14" ht="21.75" customHeight="1" x14ac:dyDescent="0.25">
      <c r="A128" s="178"/>
      <c r="B128" s="181"/>
      <c r="C128" s="173"/>
      <c r="D128" s="175"/>
      <c r="E128" s="173"/>
      <c r="F128" s="37" t="s">
        <v>16</v>
      </c>
      <c r="G128" s="38">
        <f>H128+I128+J128+K128+M128</f>
        <v>16930620.719999999</v>
      </c>
      <c r="H128" s="38">
        <f t="shared" si="36"/>
        <v>3811477.51</v>
      </c>
      <c r="I128" s="38">
        <f t="shared" si="36"/>
        <v>3351399.4800000004</v>
      </c>
      <c r="J128" s="38">
        <f t="shared" ref="J128:M129" si="37">+J132+J136+J140+J144+J148+J152+J156</f>
        <v>2980398.27</v>
      </c>
      <c r="K128" s="38">
        <f t="shared" si="37"/>
        <v>3670049.58</v>
      </c>
      <c r="L128" s="38">
        <f t="shared" si="37"/>
        <v>3020382.51</v>
      </c>
      <c r="M128" s="38">
        <f t="shared" si="37"/>
        <v>3117295.88</v>
      </c>
      <c r="N128" s="147"/>
    </row>
    <row r="129" spans="1:15" ht="21.75" customHeight="1" x14ac:dyDescent="0.25">
      <c r="A129" s="179"/>
      <c r="B129" s="182"/>
      <c r="C129" s="183"/>
      <c r="D129" s="176"/>
      <c r="E129" s="183"/>
      <c r="F129" s="37" t="s">
        <v>17</v>
      </c>
      <c r="G129" s="38">
        <f>H129+I129+J129+K129+M129</f>
        <v>68852750.890000001</v>
      </c>
      <c r="H129" s="38">
        <f t="shared" si="36"/>
        <v>6399100</v>
      </c>
      <c r="I129" s="38">
        <f t="shared" si="36"/>
        <v>14548499.999999998</v>
      </c>
      <c r="J129" s="38">
        <f t="shared" si="37"/>
        <v>14846650.890000001</v>
      </c>
      <c r="K129" s="38">
        <f t="shared" si="37"/>
        <v>17189400</v>
      </c>
      <c r="L129" s="38">
        <f t="shared" si="37"/>
        <v>16644100</v>
      </c>
      <c r="M129" s="38">
        <f t="shared" si="37"/>
        <v>15869100</v>
      </c>
      <c r="N129" s="147"/>
    </row>
    <row r="130" spans="1:15" ht="21.75" customHeight="1" x14ac:dyDescent="0.25">
      <c r="A130" s="109" t="s">
        <v>78</v>
      </c>
      <c r="B130" s="112" t="s">
        <v>64</v>
      </c>
      <c r="C130" s="115" t="s">
        <v>11</v>
      </c>
      <c r="D130" s="127" t="s">
        <v>65</v>
      </c>
      <c r="E130" s="115" t="s">
        <v>153</v>
      </c>
      <c r="F130" s="12" t="s">
        <v>14</v>
      </c>
      <c r="G130" s="22">
        <f t="shared" ref="G130:M130" si="38">G131+G132+G133</f>
        <v>3240284.2800000003</v>
      </c>
      <c r="H130" s="22">
        <f t="shared" si="38"/>
        <v>547300</v>
      </c>
      <c r="I130" s="22">
        <f t="shared" si="38"/>
        <v>708294.28</v>
      </c>
      <c r="J130" s="22">
        <f t="shared" si="38"/>
        <v>721420</v>
      </c>
      <c r="K130" s="22">
        <f t="shared" si="38"/>
        <v>639900</v>
      </c>
      <c r="L130" s="22">
        <f>L131+L132+L133</f>
        <v>638490</v>
      </c>
      <c r="M130" s="22">
        <f t="shared" si="38"/>
        <v>623370</v>
      </c>
      <c r="N130" s="146" t="s">
        <v>66</v>
      </c>
    </row>
    <row r="131" spans="1:15" ht="21.75" customHeight="1" x14ac:dyDescent="0.25">
      <c r="A131" s="110"/>
      <c r="B131" s="113"/>
      <c r="C131" s="116"/>
      <c r="D131" s="128"/>
      <c r="E131" s="116"/>
      <c r="F131" s="12" t="s">
        <v>133</v>
      </c>
      <c r="G131" s="22">
        <f>H131+I131+J131+K131+M131</f>
        <v>2072394.28</v>
      </c>
      <c r="H131" s="22">
        <v>408000</v>
      </c>
      <c r="I131" s="22">
        <f>433440+44154.28</f>
        <v>477594.28</v>
      </c>
      <c r="J131" s="22">
        <f>526320-61920</f>
        <v>464400</v>
      </c>
      <c r="K131" s="22">
        <v>361200</v>
      </c>
      <c r="L131" s="22">
        <v>361200</v>
      </c>
      <c r="M131" s="22">
        <v>361200</v>
      </c>
      <c r="N131" s="147"/>
    </row>
    <row r="132" spans="1:15" ht="21.75" customHeight="1" x14ac:dyDescent="0.25">
      <c r="A132" s="110"/>
      <c r="B132" s="113"/>
      <c r="C132" s="116"/>
      <c r="D132" s="128"/>
      <c r="E132" s="116"/>
      <c r="F132" s="12" t="s">
        <v>16</v>
      </c>
      <c r="G132" s="22">
        <f>H132+I132+J132+K132+M132</f>
        <v>1167890</v>
      </c>
      <c r="H132" s="22">
        <v>139300</v>
      </c>
      <c r="I132" s="22">
        <v>230700</v>
      </c>
      <c r="J132" s="22">
        <v>257020</v>
      </c>
      <c r="K132" s="22">
        <v>278700</v>
      </c>
      <c r="L132" s="22">
        <v>277290</v>
      </c>
      <c r="M132" s="22">
        <v>262170</v>
      </c>
      <c r="N132" s="147"/>
    </row>
    <row r="133" spans="1:15" ht="21.75" customHeight="1" x14ac:dyDescent="0.25">
      <c r="A133" s="111"/>
      <c r="B133" s="114"/>
      <c r="C133" s="116"/>
      <c r="D133" s="129"/>
      <c r="E133" s="117"/>
      <c r="F133" s="12" t="s">
        <v>17</v>
      </c>
      <c r="G133" s="22">
        <f>H133+I133+J133+K133+M133</f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148"/>
    </row>
    <row r="134" spans="1:15" ht="21.75" customHeight="1" x14ac:dyDescent="0.25">
      <c r="A134" s="109" t="s">
        <v>81</v>
      </c>
      <c r="B134" s="112" t="s">
        <v>67</v>
      </c>
      <c r="C134" s="115" t="s">
        <v>11</v>
      </c>
      <c r="D134" s="118" t="s">
        <v>147</v>
      </c>
      <c r="E134" s="115" t="s">
        <v>153</v>
      </c>
      <c r="F134" s="12" t="s">
        <v>14</v>
      </c>
      <c r="G134" s="22">
        <f t="shared" ref="G134:M134" si="39">G135+G136+G137</f>
        <v>7492612.9000000004</v>
      </c>
      <c r="H134" s="22">
        <f t="shared" si="39"/>
        <v>104312.9</v>
      </c>
      <c r="I134" s="22">
        <f t="shared" si="39"/>
        <v>1803468</v>
      </c>
      <c r="J134" s="22">
        <f t="shared" si="39"/>
        <v>1803468</v>
      </c>
      <c r="K134" s="22">
        <f t="shared" si="39"/>
        <v>1993788</v>
      </c>
      <c r="L134" s="22">
        <f>L135+L136+L137</f>
        <v>1787576</v>
      </c>
      <c r="M134" s="22">
        <f t="shared" si="39"/>
        <v>1787576</v>
      </c>
      <c r="N134" s="146" t="s">
        <v>68</v>
      </c>
    </row>
    <row r="135" spans="1:15" ht="21.75" customHeight="1" x14ac:dyDescent="0.25">
      <c r="A135" s="110"/>
      <c r="B135" s="113"/>
      <c r="C135" s="116"/>
      <c r="D135" s="119"/>
      <c r="E135" s="116"/>
      <c r="F135" s="12" t="s">
        <v>133</v>
      </c>
      <c r="G135" s="22">
        <f>H135+I135+J135+K135+M135</f>
        <v>3901568.9</v>
      </c>
      <c r="H135" s="22">
        <v>104312.9</v>
      </c>
      <c r="I135" s="22">
        <f>500000+401734</f>
        <v>901734</v>
      </c>
      <c r="J135" s="22">
        <v>901734</v>
      </c>
      <c r="K135" s="22">
        <v>1100000</v>
      </c>
      <c r="L135" s="22">
        <v>893788</v>
      </c>
      <c r="M135" s="22">
        <v>893788</v>
      </c>
      <c r="N135" s="147"/>
      <c r="O135" s="11"/>
    </row>
    <row r="136" spans="1:15" ht="21.75" customHeight="1" x14ac:dyDescent="0.25">
      <c r="A136" s="110"/>
      <c r="B136" s="113"/>
      <c r="C136" s="116"/>
      <c r="D136" s="119"/>
      <c r="E136" s="116"/>
      <c r="F136" s="12" t="s">
        <v>16</v>
      </c>
      <c r="G136" s="22">
        <f>H136+I136+J136+K136+M136</f>
        <v>3591044</v>
      </c>
      <c r="H136" s="22"/>
      <c r="I136" s="22">
        <v>901734</v>
      </c>
      <c r="J136" s="22">
        <v>901734</v>
      </c>
      <c r="K136" s="22">
        <v>893788</v>
      </c>
      <c r="L136" s="22">
        <v>893788</v>
      </c>
      <c r="M136" s="22">
        <v>893788</v>
      </c>
      <c r="N136" s="147"/>
    </row>
    <row r="137" spans="1:15" ht="21.75" customHeight="1" x14ac:dyDescent="0.25">
      <c r="A137" s="111"/>
      <c r="B137" s="114"/>
      <c r="C137" s="116"/>
      <c r="D137" s="120"/>
      <c r="E137" s="117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48"/>
    </row>
    <row r="138" spans="1:15" ht="21.75" customHeight="1" x14ac:dyDescent="0.25">
      <c r="A138" s="109" t="s">
        <v>83</v>
      </c>
      <c r="B138" s="112" t="s">
        <v>69</v>
      </c>
      <c r="C138" s="115" t="s">
        <v>11</v>
      </c>
      <c r="D138" s="118" t="s">
        <v>147</v>
      </c>
      <c r="E138" s="115" t="s">
        <v>153</v>
      </c>
      <c r="F138" s="12" t="s">
        <v>14</v>
      </c>
      <c r="G138" s="22">
        <f t="shared" ref="G138:M138" si="40">G139+G140+G141</f>
        <v>4037679.9699999997</v>
      </c>
      <c r="H138" s="22">
        <f t="shared" si="40"/>
        <v>2568957</v>
      </c>
      <c r="I138" s="22">
        <f t="shared" si="40"/>
        <v>1360722.97</v>
      </c>
      <c r="J138" s="22">
        <f t="shared" si="40"/>
        <v>0</v>
      </c>
      <c r="K138" s="22">
        <f t="shared" si="40"/>
        <v>108000</v>
      </c>
      <c r="L138" s="22">
        <f>L139+L140+L141</f>
        <v>0</v>
      </c>
      <c r="M138" s="22">
        <f t="shared" si="40"/>
        <v>0</v>
      </c>
      <c r="N138" s="146" t="s">
        <v>70</v>
      </c>
    </row>
    <row r="139" spans="1:15" ht="21.75" customHeight="1" x14ac:dyDescent="0.25">
      <c r="A139" s="110"/>
      <c r="B139" s="113"/>
      <c r="C139" s="116"/>
      <c r="D139" s="119"/>
      <c r="E139" s="116"/>
      <c r="F139" s="12" t="s">
        <v>133</v>
      </c>
      <c r="G139" s="22">
        <f>H139+I139+J139+K139+M139</f>
        <v>1636903.99</v>
      </c>
      <c r="H139" s="22">
        <v>770687.1</v>
      </c>
      <c r="I139" s="22">
        <f>670000-411783.11+500000</f>
        <v>758216.89</v>
      </c>
      <c r="J139" s="22">
        <f>257165-257165</f>
        <v>0</v>
      </c>
      <c r="K139" s="22">
        <v>108000</v>
      </c>
      <c r="L139" s="22">
        <v>0</v>
      </c>
      <c r="M139" s="22">
        <v>0</v>
      </c>
      <c r="N139" s="147"/>
      <c r="O139" s="11"/>
    </row>
    <row r="140" spans="1:15" ht="21.75" customHeight="1" x14ac:dyDescent="0.25">
      <c r="A140" s="110"/>
      <c r="B140" s="113"/>
      <c r="C140" s="116"/>
      <c r="D140" s="119"/>
      <c r="E140" s="116"/>
      <c r="F140" s="12" t="s">
        <v>16</v>
      </c>
      <c r="G140" s="22">
        <f>H140+I140+J140+K140+M140</f>
        <v>2400775.98</v>
      </c>
      <c r="H140" s="22">
        <v>1798269.9</v>
      </c>
      <c r="I140" s="22">
        <v>602506.07999999996</v>
      </c>
      <c r="J140" s="22">
        <f>600051-600051</f>
        <v>0</v>
      </c>
      <c r="K140" s="22">
        <v>0</v>
      </c>
      <c r="L140" s="22">
        <v>0</v>
      </c>
      <c r="M140" s="22">
        <v>0</v>
      </c>
      <c r="N140" s="147"/>
    </row>
    <row r="141" spans="1:15" ht="21.75" customHeight="1" x14ac:dyDescent="0.25">
      <c r="A141" s="111"/>
      <c r="B141" s="114"/>
      <c r="C141" s="116"/>
      <c r="D141" s="120"/>
      <c r="E141" s="117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48"/>
    </row>
    <row r="142" spans="1:15" ht="21.75" customHeight="1" x14ac:dyDescent="0.25">
      <c r="A142" s="109" t="s">
        <v>120</v>
      </c>
      <c r="B142" s="112" t="s">
        <v>72</v>
      </c>
      <c r="C142" s="115" t="s">
        <v>11</v>
      </c>
      <c r="D142" s="118" t="s">
        <v>42</v>
      </c>
      <c r="E142" s="115" t="s">
        <v>153</v>
      </c>
      <c r="F142" s="12" t="s">
        <v>14</v>
      </c>
      <c r="G142" s="22">
        <f t="shared" ref="G142:M142" si="41">G143+G144+G145</f>
        <v>77943557.030000001</v>
      </c>
      <c r="H142" s="22">
        <f t="shared" si="41"/>
        <v>8281288.9000000004</v>
      </c>
      <c r="I142" s="22">
        <f t="shared" si="41"/>
        <v>16181140.539999999</v>
      </c>
      <c r="J142" s="22">
        <f t="shared" si="41"/>
        <v>16514372.370000001</v>
      </c>
      <c r="K142" s="22">
        <f t="shared" si="41"/>
        <v>19118469.050000001</v>
      </c>
      <c r="L142" s="22">
        <f>L143+L144+L145</f>
        <v>18511916.43</v>
      </c>
      <c r="M142" s="22">
        <f t="shared" si="41"/>
        <v>17848286.170000002</v>
      </c>
      <c r="N142" s="146" t="s">
        <v>73</v>
      </c>
    </row>
    <row r="143" spans="1:15" ht="21.75" customHeight="1" x14ac:dyDescent="0.25">
      <c r="A143" s="110"/>
      <c r="B143" s="113"/>
      <c r="C143" s="116"/>
      <c r="D143" s="119"/>
      <c r="E143" s="116"/>
      <c r="F143" s="12" t="s">
        <v>133</v>
      </c>
      <c r="G143" s="22">
        <f>H143+I143+J143+K143+M143</f>
        <v>79511.399999999994</v>
      </c>
      <c r="H143" s="22">
        <v>8281.2900000000009</v>
      </c>
      <c r="I143" s="22">
        <v>16181.139999999996</v>
      </c>
      <c r="J143" s="48">
        <f>17660.82+421.39</f>
        <v>18082.21</v>
      </c>
      <c r="K143" s="48">
        <v>19118.47</v>
      </c>
      <c r="L143" s="48">
        <v>18511.919999999998</v>
      </c>
      <c r="M143" s="48">
        <v>17848.29</v>
      </c>
      <c r="N143" s="147"/>
    </row>
    <row r="144" spans="1:15" ht="21.75" customHeight="1" x14ac:dyDescent="0.25">
      <c r="A144" s="110"/>
      <c r="B144" s="113"/>
      <c r="C144" s="116"/>
      <c r="D144" s="119"/>
      <c r="E144" s="116"/>
      <c r="F144" s="12" t="s">
        <v>16</v>
      </c>
      <c r="G144" s="22">
        <f>H144+I144+J144+K144+M144</f>
        <v>9011294.7400000002</v>
      </c>
      <c r="H144" s="22">
        <f>1873906.61+1</f>
        <v>1873907.61</v>
      </c>
      <c r="I144" s="22">
        <v>1616459.4000000001</v>
      </c>
      <c r="J144" s="48">
        <f>'[4]остатки средств в ФК_3'!$AH$112</f>
        <v>1649639.27</v>
      </c>
      <c r="K144" s="48">
        <v>1909950.58</v>
      </c>
      <c r="L144" s="48">
        <v>1849304.51</v>
      </c>
      <c r="M144" s="48">
        <v>1961337.88</v>
      </c>
      <c r="N144" s="147"/>
    </row>
    <row r="145" spans="1:14" ht="21.75" customHeight="1" x14ac:dyDescent="0.25">
      <c r="A145" s="111"/>
      <c r="B145" s="114"/>
      <c r="C145" s="116"/>
      <c r="D145" s="120"/>
      <c r="E145" s="117"/>
      <c r="F145" s="12" t="s">
        <v>17</v>
      </c>
      <c r="G145" s="22">
        <f>H145+I145+J145+K145+M145</f>
        <v>68852750.890000001</v>
      </c>
      <c r="H145" s="22">
        <v>6399100</v>
      </c>
      <c r="I145" s="22">
        <v>14548499.999999998</v>
      </c>
      <c r="J145" s="48">
        <f>'[4]остатки средств в ФК_3'!$AG$112</f>
        <v>14846650.890000001</v>
      </c>
      <c r="K145" s="48">
        <v>17189400</v>
      </c>
      <c r="L145" s="48">
        <v>16644100</v>
      </c>
      <c r="M145" s="48">
        <v>15869100</v>
      </c>
      <c r="N145" s="148"/>
    </row>
    <row r="146" spans="1:14" ht="21.75" customHeight="1" x14ac:dyDescent="0.25">
      <c r="A146" s="109" t="s">
        <v>86</v>
      </c>
      <c r="B146" s="112" t="s">
        <v>74</v>
      </c>
      <c r="C146" s="115" t="s">
        <v>11</v>
      </c>
      <c r="D146" s="118" t="s">
        <v>42</v>
      </c>
      <c r="E146" s="115" t="s">
        <v>153</v>
      </c>
      <c r="F146" s="12" t="s">
        <v>14</v>
      </c>
      <c r="G146" s="22">
        <f t="shared" ref="G146:M146" si="42">G147+G148+G149</f>
        <v>9021293.0300000012</v>
      </c>
      <c r="H146" s="22">
        <f t="shared" si="42"/>
        <v>0</v>
      </c>
      <c r="I146" s="22">
        <f t="shared" si="42"/>
        <v>0</v>
      </c>
      <c r="J146" s="22">
        <f t="shared" si="42"/>
        <v>2749897.15</v>
      </c>
      <c r="K146" s="22">
        <f t="shared" si="42"/>
        <v>3885684.72</v>
      </c>
      <c r="L146" s="22">
        <f>L147+L148+L149</f>
        <v>2385722.9</v>
      </c>
      <c r="M146" s="22">
        <f t="shared" si="42"/>
        <v>2385711.16</v>
      </c>
      <c r="N146" s="146" t="s">
        <v>75</v>
      </c>
    </row>
    <row r="147" spans="1:14" ht="21.75" customHeight="1" x14ac:dyDescent="0.25">
      <c r="A147" s="110"/>
      <c r="B147" s="113"/>
      <c r="C147" s="116"/>
      <c r="D147" s="119"/>
      <c r="E147" s="116"/>
      <c r="F147" s="12" t="s">
        <v>133</v>
      </c>
      <c r="G147" s="22">
        <f>H147+I147+J147+K147+M147</f>
        <v>9021293.0300000012</v>
      </c>
      <c r="H147" s="22"/>
      <c r="I147" s="22"/>
      <c r="J147" s="22">
        <v>2749897.15</v>
      </c>
      <c r="K147" s="22">
        <v>3885684.72</v>
      </c>
      <c r="L147" s="22">
        <v>2385722.9</v>
      </c>
      <c r="M147" s="22">
        <v>2385711.16</v>
      </c>
      <c r="N147" s="147"/>
    </row>
    <row r="148" spans="1:14" ht="21.75" customHeight="1" x14ac:dyDescent="0.25">
      <c r="A148" s="110"/>
      <c r="B148" s="113"/>
      <c r="C148" s="116"/>
      <c r="D148" s="119"/>
      <c r="E148" s="116"/>
      <c r="F148" s="12" t="s">
        <v>16</v>
      </c>
      <c r="G148" s="22">
        <f>H148+I148+J148+K148+M148</f>
        <v>0</v>
      </c>
      <c r="H148" s="22"/>
      <c r="I148" s="22"/>
      <c r="J148" s="22">
        <v>0</v>
      </c>
      <c r="K148" s="22">
        <v>0</v>
      </c>
      <c r="L148" s="22">
        <v>0</v>
      </c>
      <c r="M148" s="22">
        <v>0</v>
      </c>
      <c r="N148" s="147"/>
    </row>
    <row r="149" spans="1:14" ht="21.75" customHeight="1" x14ac:dyDescent="0.25">
      <c r="A149" s="111"/>
      <c r="B149" s="114"/>
      <c r="C149" s="116"/>
      <c r="D149" s="120"/>
      <c r="E149" s="117"/>
      <c r="F149" s="12" t="s">
        <v>17</v>
      </c>
      <c r="G149" s="22">
        <f>H149+I149+J149+K149+M149</f>
        <v>0</v>
      </c>
      <c r="H149" s="22"/>
      <c r="I149" s="22"/>
      <c r="J149" s="22">
        <v>0</v>
      </c>
      <c r="K149" s="22">
        <v>0</v>
      </c>
      <c r="L149" s="22">
        <v>0</v>
      </c>
      <c r="M149" s="22">
        <v>0</v>
      </c>
      <c r="N149" s="148"/>
    </row>
    <row r="150" spans="1:14" ht="21.75" customHeight="1" x14ac:dyDescent="0.25">
      <c r="A150" s="109" t="s">
        <v>121</v>
      </c>
      <c r="B150" s="112" t="s">
        <v>76</v>
      </c>
      <c r="C150" s="115" t="s">
        <v>11</v>
      </c>
      <c r="D150" s="118" t="s">
        <v>42</v>
      </c>
      <c r="E150" s="115" t="s">
        <v>153</v>
      </c>
      <c r="F150" s="12" t="s">
        <v>14</v>
      </c>
      <c r="G150" s="22">
        <f t="shared" ref="G150:M150" si="43">G151+G152+G153</f>
        <v>4107171.49</v>
      </c>
      <c r="H150" s="22">
        <f t="shared" si="43"/>
        <v>0</v>
      </c>
      <c r="I150" s="22">
        <f t="shared" si="43"/>
        <v>0</v>
      </c>
      <c r="J150" s="22">
        <f t="shared" si="43"/>
        <v>1646729.49</v>
      </c>
      <c r="K150" s="22">
        <f t="shared" si="43"/>
        <v>1630221</v>
      </c>
      <c r="L150" s="22">
        <f>L151+L152+L153</f>
        <v>830221</v>
      </c>
      <c r="M150" s="22">
        <f t="shared" si="43"/>
        <v>830221</v>
      </c>
      <c r="N150" s="146" t="s">
        <v>77</v>
      </c>
    </row>
    <row r="151" spans="1:14" ht="21.75" customHeight="1" x14ac:dyDescent="0.25">
      <c r="A151" s="110"/>
      <c r="B151" s="113"/>
      <c r="C151" s="116"/>
      <c r="D151" s="119"/>
      <c r="E151" s="116"/>
      <c r="F151" s="12" t="s">
        <v>133</v>
      </c>
      <c r="G151" s="22">
        <f>H151+I151+J151+K151+M151</f>
        <v>4107171.49</v>
      </c>
      <c r="H151" s="22"/>
      <c r="I151" s="22"/>
      <c r="J151" s="22">
        <v>1646729.49</v>
      </c>
      <c r="K151" s="22">
        <v>1630221</v>
      </c>
      <c r="L151" s="22">
        <v>830221</v>
      </c>
      <c r="M151" s="22">
        <v>830221</v>
      </c>
      <c r="N151" s="147"/>
    </row>
    <row r="152" spans="1:14" ht="21.75" customHeight="1" x14ac:dyDescent="0.25">
      <c r="A152" s="110"/>
      <c r="B152" s="113"/>
      <c r="C152" s="116"/>
      <c r="D152" s="119"/>
      <c r="E152" s="116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47"/>
    </row>
    <row r="153" spans="1:14" ht="21.75" customHeight="1" x14ac:dyDescent="0.25">
      <c r="A153" s="111"/>
      <c r="B153" s="114"/>
      <c r="C153" s="116"/>
      <c r="D153" s="120"/>
      <c r="E153" s="117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48"/>
    </row>
    <row r="154" spans="1:14" ht="21.75" customHeight="1" x14ac:dyDescent="0.25">
      <c r="A154" s="109" t="s">
        <v>89</v>
      </c>
      <c r="B154" s="133" t="s">
        <v>136</v>
      </c>
      <c r="C154" s="136" t="s">
        <v>11</v>
      </c>
      <c r="D154" s="138" t="s">
        <v>42</v>
      </c>
      <c r="E154" s="136" t="s">
        <v>153</v>
      </c>
      <c r="F154" s="49" t="s">
        <v>14</v>
      </c>
      <c r="G154" s="48">
        <f t="shared" ref="G154:M154" si="44">G155+G156+G157</f>
        <v>759616</v>
      </c>
      <c r="H154" s="48">
        <f t="shared" si="44"/>
        <v>0</v>
      </c>
      <c r="I154" s="48">
        <f t="shared" si="44"/>
        <v>0</v>
      </c>
      <c r="J154" s="48">
        <f t="shared" si="44"/>
        <v>172005</v>
      </c>
      <c r="K154" s="48">
        <f t="shared" si="44"/>
        <v>587611</v>
      </c>
      <c r="L154" s="48">
        <f t="shared" si="44"/>
        <v>0</v>
      </c>
      <c r="M154" s="48">
        <f t="shared" si="44"/>
        <v>0</v>
      </c>
      <c r="N154" s="219" t="s">
        <v>137</v>
      </c>
    </row>
    <row r="155" spans="1:14" ht="21.75" customHeight="1" x14ac:dyDescent="0.25">
      <c r="A155" s="110"/>
      <c r="B155" s="134"/>
      <c r="C155" s="137"/>
      <c r="D155" s="139"/>
      <c r="E155" s="137"/>
      <c r="F155" s="49" t="s">
        <v>15</v>
      </c>
      <c r="G155" s="48">
        <f>H155+I155+J155+K155+L155</f>
        <v>0</v>
      </c>
      <c r="H155" s="48"/>
      <c r="I155" s="48"/>
      <c r="J155" s="48">
        <v>0</v>
      </c>
      <c r="K155" s="48">
        <v>0</v>
      </c>
      <c r="L155" s="48">
        <v>0</v>
      </c>
      <c r="M155" s="48">
        <v>0</v>
      </c>
      <c r="N155" s="220"/>
    </row>
    <row r="156" spans="1:14" ht="21.75" customHeight="1" x14ac:dyDescent="0.25">
      <c r="A156" s="110"/>
      <c r="B156" s="134"/>
      <c r="C156" s="137"/>
      <c r="D156" s="139"/>
      <c r="E156" s="137"/>
      <c r="F156" s="49" t="s">
        <v>16</v>
      </c>
      <c r="G156" s="48">
        <f>H156+I156+J156+K156+L156</f>
        <v>759616</v>
      </c>
      <c r="H156" s="48"/>
      <c r="I156" s="48"/>
      <c r="J156" s="48">
        <v>172005</v>
      </c>
      <c r="K156" s="48">
        <v>587611</v>
      </c>
      <c r="L156" s="48">
        <v>0</v>
      </c>
      <c r="M156" s="48">
        <v>0</v>
      </c>
      <c r="N156" s="220"/>
    </row>
    <row r="157" spans="1:14" ht="21.75" customHeight="1" x14ac:dyDescent="0.25">
      <c r="A157" s="111"/>
      <c r="B157" s="135"/>
      <c r="C157" s="137"/>
      <c r="D157" s="140"/>
      <c r="E157" s="141"/>
      <c r="F157" s="49" t="s">
        <v>17</v>
      </c>
      <c r="G157" s="48">
        <f>H157+I157+J157+K157+L157</f>
        <v>0</v>
      </c>
      <c r="H157" s="48"/>
      <c r="I157" s="48"/>
      <c r="J157" s="48">
        <v>0</v>
      </c>
      <c r="K157" s="48">
        <v>0</v>
      </c>
      <c r="L157" s="48">
        <v>0</v>
      </c>
      <c r="M157" s="48">
        <v>0</v>
      </c>
      <c r="N157" s="221"/>
    </row>
    <row r="158" spans="1:14" ht="22.5" customHeight="1" x14ac:dyDescent="0.25">
      <c r="A158" s="153"/>
      <c r="B158" s="186" t="s">
        <v>143</v>
      </c>
      <c r="C158" s="159" t="s">
        <v>11</v>
      </c>
      <c r="D158" s="162" t="s">
        <v>12</v>
      </c>
      <c r="E158" s="159" t="s">
        <v>153</v>
      </c>
      <c r="F158" s="34" t="s">
        <v>14</v>
      </c>
      <c r="G158" s="35">
        <f t="shared" ref="G158:M158" si="45">G159+G160+G161</f>
        <v>371162889.48000002</v>
      </c>
      <c r="H158" s="35">
        <f>H159+H160+H161</f>
        <v>33765416.269999996</v>
      </c>
      <c r="I158" s="35">
        <f>I159+I160+I161</f>
        <v>51849700.129999995</v>
      </c>
      <c r="J158" s="35">
        <f>J159+J160+J161</f>
        <v>175908008.94999999</v>
      </c>
      <c r="K158" s="35">
        <f t="shared" si="45"/>
        <v>104502440.52</v>
      </c>
      <c r="L158" s="35">
        <f>L159+L160+L161</f>
        <v>5032773.8599999994</v>
      </c>
      <c r="M158" s="35">
        <f t="shared" si="45"/>
        <v>5137323.6099999994</v>
      </c>
      <c r="N158" s="189"/>
    </row>
    <row r="159" spans="1:14" ht="22.5" customHeight="1" x14ac:dyDescent="0.25">
      <c r="A159" s="154"/>
      <c r="B159" s="187"/>
      <c r="C159" s="160"/>
      <c r="D159" s="163"/>
      <c r="E159" s="160"/>
      <c r="F159" s="34" t="s">
        <v>133</v>
      </c>
      <c r="G159" s="35">
        <f>H159+I159+J159+K159+M159</f>
        <v>59761316.819999993</v>
      </c>
      <c r="H159" s="35">
        <f>H163+H195+H207+H211+H199+H203+H219+H223+H215+H171+H183+H175+H179+H187+H191+H167</f>
        <v>11096398.129999999</v>
      </c>
      <c r="I159" s="35">
        <f t="shared" ref="I159:M159" si="46">I163+I195+I207+I211+I199+I203+I219+I223+I215+I171+I183+I175+I179+I187+I191+I167</f>
        <v>13999034.969999999</v>
      </c>
      <c r="J159" s="35">
        <f t="shared" si="46"/>
        <v>16915030.59</v>
      </c>
      <c r="K159" s="35">
        <f t="shared" si="46"/>
        <v>12613529.52</v>
      </c>
      <c r="L159" s="35">
        <f t="shared" si="46"/>
        <v>5032773.8599999994</v>
      </c>
      <c r="M159" s="35">
        <f t="shared" si="46"/>
        <v>5137323.6099999994</v>
      </c>
      <c r="N159" s="190"/>
    </row>
    <row r="160" spans="1:14" ht="22.5" customHeight="1" x14ac:dyDescent="0.25">
      <c r="A160" s="154"/>
      <c r="B160" s="187"/>
      <c r="C160" s="160"/>
      <c r="D160" s="163"/>
      <c r="E160" s="160"/>
      <c r="F160" s="34" t="s">
        <v>16</v>
      </c>
      <c r="G160" s="35">
        <f>H160+I160+J160+K160+M160</f>
        <v>123267656.23</v>
      </c>
      <c r="H160" s="35">
        <f t="shared" ref="H160:M161" si="47">H164+H196+H208+H212+H200+H204+H220+H224+H216+H172+H184+H176+H180+H188+H192+H168</f>
        <v>19227384.140000001</v>
      </c>
      <c r="I160" s="35">
        <f t="shared" si="47"/>
        <v>17200900.700000003</v>
      </c>
      <c r="J160" s="35">
        <f t="shared" si="47"/>
        <v>24353296.359999999</v>
      </c>
      <c r="K160" s="35">
        <f t="shared" si="47"/>
        <v>62486075.030000001</v>
      </c>
      <c r="L160" s="35">
        <f t="shared" si="47"/>
        <v>0</v>
      </c>
      <c r="M160" s="35">
        <f t="shared" si="47"/>
        <v>0</v>
      </c>
      <c r="N160" s="190"/>
    </row>
    <row r="161" spans="1:26" ht="22.5" customHeight="1" x14ac:dyDescent="0.25">
      <c r="A161" s="155"/>
      <c r="B161" s="188"/>
      <c r="C161" s="161"/>
      <c r="D161" s="164"/>
      <c r="E161" s="161"/>
      <c r="F161" s="34" t="s">
        <v>17</v>
      </c>
      <c r="G161" s="35">
        <f>H161+I161+J161+K161+M161</f>
        <v>188133916.43000001</v>
      </c>
      <c r="H161" s="35">
        <f t="shared" si="47"/>
        <v>3441634</v>
      </c>
      <c r="I161" s="35">
        <f t="shared" si="47"/>
        <v>20649764.459999997</v>
      </c>
      <c r="J161" s="35">
        <f t="shared" si="47"/>
        <v>134639682</v>
      </c>
      <c r="K161" s="35">
        <f t="shared" si="47"/>
        <v>29402835.969999999</v>
      </c>
      <c r="L161" s="35">
        <f t="shared" si="47"/>
        <v>0</v>
      </c>
      <c r="M161" s="35">
        <f t="shared" si="47"/>
        <v>0</v>
      </c>
      <c r="N161" s="191"/>
      <c r="Z161" s="3"/>
    </row>
    <row r="162" spans="1:26" ht="21.75" customHeight="1" x14ac:dyDescent="0.25">
      <c r="A162" s="109" t="s">
        <v>18</v>
      </c>
      <c r="B162" s="112" t="s">
        <v>79</v>
      </c>
      <c r="C162" s="115" t="s">
        <v>11</v>
      </c>
      <c r="D162" s="118" t="s">
        <v>42</v>
      </c>
      <c r="E162" s="115" t="s">
        <v>153</v>
      </c>
      <c r="F162" s="12" t="s">
        <v>14</v>
      </c>
      <c r="G162" s="22">
        <f t="shared" ref="G162:M162" si="48">G163+G164+G165</f>
        <v>61981788.36999999</v>
      </c>
      <c r="H162" s="22">
        <f t="shared" si="48"/>
        <v>14048396.27</v>
      </c>
      <c r="I162" s="22">
        <f t="shared" si="48"/>
        <v>23290645.129999999</v>
      </c>
      <c r="J162" s="48">
        <f t="shared" si="48"/>
        <v>10367208.279999999</v>
      </c>
      <c r="K162" s="22">
        <f t="shared" si="48"/>
        <v>13965538.689999999</v>
      </c>
      <c r="L162" s="22">
        <f>L163+L164+L165</f>
        <v>310000</v>
      </c>
      <c r="M162" s="22">
        <f t="shared" si="48"/>
        <v>310000</v>
      </c>
      <c r="N162" s="146" t="s">
        <v>148</v>
      </c>
    </row>
    <row r="163" spans="1:26" ht="21.75" customHeight="1" x14ac:dyDescent="0.25">
      <c r="A163" s="110"/>
      <c r="B163" s="113"/>
      <c r="C163" s="116"/>
      <c r="D163" s="119"/>
      <c r="E163" s="116"/>
      <c r="F163" s="12" t="s">
        <v>133</v>
      </c>
      <c r="G163" s="22">
        <f>H163+I163+J163+K163+M163</f>
        <v>25378405.069999997</v>
      </c>
      <c r="H163" s="22">
        <v>4977603.13</v>
      </c>
      <c r="I163" s="22">
        <f>7673601.18+600000+400000-13542.21+500000</f>
        <v>9160058.9699999988</v>
      </c>
      <c r="J163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22">
        <f>450000+113534.69</f>
        <v>563534.68999999994</v>
      </c>
      <c r="L163" s="22">
        <f>60000+250000</f>
        <v>310000</v>
      </c>
      <c r="M163" s="22">
        <v>310000</v>
      </c>
      <c r="N163" s="147"/>
      <c r="P163" s="3">
        <f>1759000+1400000+4507295+1195000</f>
        <v>8861295</v>
      </c>
      <c r="Q163" s="3">
        <f>P163-O163</f>
        <v>8861295</v>
      </c>
    </row>
    <row r="164" spans="1:26" ht="21.75" customHeight="1" x14ac:dyDescent="0.25">
      <c r="A164" s="110"/>
      <c r="B164" s="113"/>
      <c r="C164" s="116"/>
      <c r="D164" s="119"/>
      <c r="E164" s="116"/>
      <c r="F164" s="12" t="s">
        <v>16</v>
      </c>
      <c r="G164" s="22">
        <f>H164+I164+J164+K164+M164</f>
        <v>36603383.299999997</v>
      </c>
      <c r="H164" s="22">
        <f>3714220.8+5356572.34</f>
        <v>9070793.1400000006</v>
      </c>
      <c r="I164" s="22">
        <v>14130586.16</v>
      </c>
      <c r="J164" s="48">
        <f>1500000-1500000</f>
        <v>0</v>
      </c>
      <c r="K164" s="22">
        <f>16686400+1076000-1370000-490396-2500000</f>
        <v>13402004</v>
      </c>
      <c r="L164" s="22">
        <v>0</v>
      </c>
      <c r="M164" s="22">
        <v>0</v>
      </c>
      <c r="N164" s="147"/>
      <c r="Q164" s="3"/>
    </row>
    <row r="165" spans="1:26" ht="21.75" customHeight="1" x14ac:dyDescent="0.25">
      <c r="A165" s="111"/>
      <c r="B165" s="114"/>
      <c r="C165" s="117"/>
      <c r="D165" s="120"/>
      <c r="E165" s="117"/>
      <c r="F165" s="12" t="s">
        <v>17</v>
      </c>
      <c r="G165" s="22">
        <f>H165+I165+J165+K165+M165</f>
        <v>0</v>
      </c>
      <c r="H165" s="22">
        <v>0</v>
      </c>
      <c r="I165" s="22">
        <v>0</v>
      </c>
      <c r="J165" s="48">
        <v>0</v>
      </c>
      <c r="K165" s="22">
        <v>0</v>
      </c>
      <c r="L165" s="22">
        <v>0</v>
      </c>
      <c r="M165" s="22">
        <v>0</v>
      </c>
      <c r="N165" s="147"/>
      <c r="O165" s="3"/>
    </row>
    <row r="166" spans="1:26" ht="21.75" customHeight="1" x14ac:dyDescent="0.25">
      <c r="A166" s="109" t="s">
        <v>25</v>
      </c>
      <c r="B166" s="112" t="s">
        <v>119</v>
      </c>
      <c r="C166" s="115" t="s">
        <v>11</v>
      </c>
      <c r="D166" s="118" t="s">
        <v>80</v>
      </c>
      <c r="E166" s="115" t="s">
        <v>153</v>
      </c>
      <c r="F166" s="12" t="s">
        <v>14</v>
      </c>
      <c r="G166" s="22">
        <f t="shared" ref="G166:K166" si="49">G167+G168+G169</f>
        <v>227594448.94</v>
      </c>
      <c r="H166" s="22">
        <f t="shared" si="49"/>
        <v>0</v>
      </c>
      <c r="I166" s="22">
        <f t="shared" si="49"/>
        <v>0</v>
      </c>
      <c r="J166" s="48">
        <f t="shared" si="49"/>
        <v>160296473.78</v>
      </c>
      <c r="K166" s="22">
        <f t="shared" si="49"/>
        <v>67297975.159999996</v>
      </c>
      <c r="L166" s="22">
        <f>L167+L168+L169</f>
        <v>0</v>
      </c>
      <c r="M166" s="22">
        <f t="shared" ref="M166" si="50">M167+M168+M169</f>
        <v>0</v>
      </c>
      <c r="N166" s="147"/>
    </row>
    <row r="167" spans="1:26" ht="21.75" customHeight="1" x14ac:dyDescent="0.25">
      <c r="A167" s="110"/>
      <c r="B167" s="113"/>
      <c r="C167" s="116"/>
      <c r="D167" s="119"/>
      <c r="E167" s="116"/>
      <c r="F167" s="12" t="s">
        <v>133</v>
      </c>
      <c r="G167" s="22">
        <f>H167+I167+J167+K167+M167</f>
        <v>7162202.0599999996</v>
      </c>
      <c r="H167" s="22">
        <v>0</v>
      </c>
      <c r="I167" s="22">
        <v>0</v>
      </c>
      <c r="J167" s="48">
        <v>3291454.2199999997</v>
      </c>
      <c r="K167" s="22">
        <f>337451+3533296.84</f>
        <v>3870747.84</v>
      </c>
      <c r="L167" s="22">
        <v>0</v>
      </c>
      <c r="M167" s="22">
        <v>0</v>
      </c>
      <c r="N167" s="147"/>
      <c r="P167" s="3">
        <f>1759000+1400000+4507295+1195000</f>
        <v>8861295</v>
      </c>
      <c r="Q167" s="3">
        <f>P167-O167</f>
        <v>8861295</v>
      </c>
    </row>
    <row r="168" spans="1:26" ht="21.75" customHeight="1" x14ac:dyDescent="0.25">
      <c r="A168" s="110"/>
      <c r="B168" s="113"/>
      <c r="C168" s="116"/>
      <c r="D168" s="119"/>
      <c r="E168" s="116"/>
      <c r="F168" s="12" t="s">
        <v>16</v>
      </c>
      <c r="G168" s="22">
        <f>H168+I168+J168+K168+M168</f>
        <v>57994164.879999995</v>
      </c>
      <c r="H168" s="22">
        <v>0</v>
      </c>
      <c r="I168" s="22">
        <v>0</v>
      </c>
      <c r="J168" s="48">
        <v>22365337.559999999</v>
      </c>
      <c r="K168" s="22">
        <f>15628827.32+20000000</f>
        <v>35628827.32</v>
      </c>
      <c r="L168" s="22">
        <v>0</v>
      </c>
      <c r="M168" s="22">
        <v>0</v>
      </c>
      <c r="N168" s="147"/>
      <c r="Q168" s="3"/>
    </row>
    <row r="169" spans="1:26" ht="21.75" customHeight="1" x14ac:dyDescent="0.25">
      <c r="A169" s="111"/>
      <c r="B169" s="114"/>
      <c r="C169" s="116"/>
      <c r="D169" s="120"/>
      <c r="E169" s="117"/>
      <c r="F169" s="12" t="s">
        <v>17</v>
      </c>
      <c r="G169" s="22">
        <f>H169+I169+J169+K169+M169</f>
        <v>162438082</v>
      </c>
      <c r="H169" s="22">
        <v>0</v>
      </c>
      <c r="I169" s="22">
        <v>0</v>
      </c>
      <c r="J169" s="48">
        <v>134639682</v>
      </c>
      <c r="K169" s="22">
        <v>27798400</v>
      </c>
      <c r="L169" s="22">
        <v>0</v>
      </c>
      <c r="M169" s="22">
        <v>0</v>
      </c>
      <c r="N169" s="147"/>
      <c r="O169" s="3"/>
    </row>
    <row r="170" spans="1:26" ht="21.75" customHeight="1" x14ac:dyDescent="0.25">
      <c r="A170" s="109" t="s">
        <v>25</v>
      </c>
      <c r="B170" s="112" t="s">
        <v>155</v>
      </c>
      <c r="C170" s="115" t="s">
        <v>11</v>
      </c>
      <c r="D170" s="118" t="s">
        <v>80</v>
      </c>
      <c r="E170" s="115" t="s">
        <v>153</v>
      </c>
      <c r="F170" s="12" t="s">
        <v>14</v>
      </c>
      <c r="G170" s="22">
        <f t="shared" ref="G170:M170" si="51">G171+G172+G173</f>
        <v>1106622.68</v>
      </c>
      <c r="H170" s="22">
        <f t="shared" si="51"/>
        <v>0</v>
      </c>
      <c r="I170" s="22">
        <f t="shared" si="51"/>
        <v>0</v>
      </c>
      <c r="J170" s="48">
        <f t="shared" si="51"/>
        <v>0</v>
      </c>
      <c r="K170" s="22">
        <f t="shared" si="51"/>
        <v>1106622.68</v>
      </c>
      <c r="L170" s="22">
        <f>L171+L172+L173</f>
        <v>0</v>
      </c>
      <c r="M170" s="22">
        <f t="shared" si="51"/>
        <v>0</v>
      </c>
      <c r="N170" s="147"/>
    </row>
    <row r="171" spans="1:26" ht="21.75" customHeight="1" x14ac:dyDescent="0.25">
      <c r="A171" s="110"/>
      <c r="B171" s="113"/>
      <c r="C171" s="116"/>
      <c r="D171" s="119"/>
      <c r="E171" s="116"/>
      <c r="F171" s="12" t="s">
        <v>133</v>
      </c>
      <c r="G171" s="22">
        <f>H171+I171+J171+K171+M171</f>
        <v>0</v>
      </c>
      <c r="H171" s="22">
        <v>0</v>
      </c>
      <c r="I171" s="22">
        <v>0</v>
      </c>
      <c r="J171" s="48">
        <v>0</v>
      </c>
      <c r="K171" s="22"/>
      <c r="L171" s="22">
        <v>0</v>
      </c>
      <c r="M171" s="22">
        <v>0</v>
      </c>
      <c r="N171" s="147"/>
      <c r="P171" s="3">
        <f>1759000+1400000+4507295+1195000</f>
        <v>8861295</v>
      </c>
      <c r="Q171" s="3">
        <f>P171-O171</f>
        <v>8861295</v>
      </c>
    </row>
    <row r="172" spans="1:26" ht="21.75" customHeight="1" x14ac:dyDescent="0.25">
      <c r="A172" s="110"/>
      <c r="B172" s="113"/>
      <c r="C172" s="116"/>
      <c r="D172" s="119"/>
      <c r="E172" s="116"/>
      <c r="F172" s="12" t="s">
        <v>16</v>
      </c>
      <c r="G172" s="22">
        <f>H172+I172+J172+K172+M172</f>
        <v>1106622.68</v>
      </c>
      <c r="H172" s="22">
        <v>0</v>
      </c>
      <c r="I172" s="22">
        <v>0</v>
      </c>
      <c r="J172" s="48">
        <v>0</v>
      </c>
      <c r="K172" s="22">
        <v>1106622.68</v>
      </c>
      <c r="L172" s="22">
        <v>0</v>
      </c>
      <c r="M172" s="22">
        <v>0</v>
      </c>
      <c r="N172" s="147"/>
      <c r="Q172" s="3"/>
    </row>
    <row r="173" spans="1:26" ht="21.75" customHeight="1" x14ac:dyDescent="0.25">
      <c r="A173" s="111"/>
      <c r="B173" s="114"/>
      <c r="C173" s="116"/>
      <c r="D173" s="120"/>
      <c r="E173" s="117"/>
      <c r="F173" s="12" t="s">
        <v>17</v>
      </c>
      <c r="G173" s="22">
        <f>H173+I173+J173+K173+M173</f>
        <v>0</v>
      </c>
      <c r="H173" s="22">
        <v>0</v>
      </c>
      <c r="I173" s="22">
        <v>0</v>
      </c>
      <c r="J173" s="48">
        <v>0</v>
      </c>
      <c r="K173" s="22"/>
      <c r="L173" s="22">
        <v>0</v>
      </c>
      <c r="M173" s="22">
        <v>0</v>
      </c>
      <c r="N173" s="147"/>
      <c r="O173" s="3"/>
    </row>
    <row r="174" spans="1:26" ht="21.75" customHeight="1" x14ac:dyDescent="0.25">
      <c r="A174" s="109" t="s">
        <v>44</v>
      </c>
      <c r="B174" s="112" t="s">
        <v>59</v>
      </c>
      <c r="C174" s="115" t="s">
        <v>11</v>
      </c>
      <c r="D174" s="127" t="s">
        <v>60</v>
      </c>
      <c r="E174" s="115" t="s">
        <v>153</v>
      </c>
      <c r="F174" s="12" t="s">
        <v>14</v>
      </c>
      <c r="G174" s="22">
        <f t="shared" ref="G174:M174" si="52">G175+G176+G177</f>
        <v>21717456.599999998</v>
      </c>
      <c r="H174" s="22">
        <f t="shared" si="52"/>
        <v>12027171</v>
      </c>
      <c r="I174" s="22">
        <f t="shared" si="52"/>
        <v>2498350</v>
      </c>
      <c r="J174" s="22">
        <f t="shared" si="52"/>
        <v>0</v>
      </c>
      <c r="K174" s="22">
        <f t="shared" si="52"/>
        <v>7191935.6000000006</v>
      </c>
      <c r="L174" s="22">
        <f t="shared" si="52"/>
        <v>0</v>
      </c>
      <c r="M174" s="22">
        <f t="shared" si="52"/>
        <v>0</v>
      </c>
      <c r="N174" s="147"/>
    </row>
    <row r="175" spans="1:26" ht="21.75" customHeight="1" x14ac:dyDescent="0.25">
      <c r="A175" s="110"/>
      <c r="B175" s="113"/>
      <c r="C175" s="116"/>
      <c r="D175" s="128"/>
      <c r="E175" s="116"/>
      <c r="F175" s="12" t="s">
        <v>133</v>
      </c>
      <c r="G175" s="22">
        <f>H175+I175+J175+K175+M175</f>
        <v>2169836.6</v>
      </c>
      <c r="H175" s="22">
        <v>900000</v>
      </c>
      <c r="I175" s="22">
        <v>77901</v>
      </c>
      <c r="J175" s="22">
        <v>0</v>
      </c>
      <c r="K175" s="22">
        <f>1500000-308064.4</f>
        <v>1191935.6000000001</v>
      </c>
      <c r="L175" s="22">
        <v>0</v>
      </c>
      <c r="M175" s="22">
        <v>0</v>
      </c>
      <c r="N175" s="147"/>
    </row>
    <row r="176" spans="1:26" ht="21.75" customHeight="1" x14ac:dyDescent="0.25">
      <c r="A176" s="110"/>
      <c r="B176" s="113"/>
      <c r="C176" s="116"/>
      <c r="D176" s="128"/>
      <c r="E176" s="116"/>
      <c r="F176" s="12" t="s">
        <v>16</v>
      </c>
      <c r="G176" s="22">
        <f>H176+I176+J176+K176+M176</f>
        <v>13745422.969999999</v>
      </c>
      <c r="H176" s="22">
        <v>7685537</v>
      </c>
      <c r="I176" s="22">
        <f>464321.94+1200000</f>
        <v>1664321.94</v>
      </c>
      <c r="J176" s="22">
        <v>0</v>
      </c>
      <c r="K176" s="22">
        <v>4395564.03</v>
      </c>
      <c r="L176" s="22">
        <v>0</v>
      </c>
      <c r="M176" s="22">
        <v>0</v>
      </c>
      <c r="N176" s="147"/>
    </row>
    <row r="177" spans="1:17" ht="21.75" customHeight="1" x14ac:dyDescent="0.25">
      <c r="A177" s="111"/>
      <c r="B177" s="114"/>
      <c r="C177" s="116"/>
      <c r="D177" s="129"/>
      <c r="E177" s="117"/>
      <c r="F177" s="12" t="s">
        <v>17</v>
      </c>
      <c r="G177" s="22">
        <f>H177+I177+J177+K177+M177</f>
        <v>5802197.0300000003</v>
      </c>
      <c r="H177" s="22">
        <v>3441634</v>
      </c>
      <c r="I177" s="22">
        <v>756127.06</v>
      </c>
      <c r="J177" s="22">
        <v>0</v>
      </c>
      <c r="K177" s="22">
        <v>1604435.97</v>
      </c>
      <c r="L177" s="22">
        <v>0</v>
      </c>
      <c r="M177" s="22">
        <v>0</v>
      </c>
      <c r="N177" s="147"/>
    </row>
    <row r="178" spans="1:17" s="31" customFormat="1" ht="21.75" customHeight="1" x14ac:dyDescent="0.3">
      <c r="A178" s="109" t="s">
        <v>78</v>
      </c>
      <c r="B178" s="112" t="s">
        <v>61</v>
      </c>
      <c r="C178" s="115" t="s">
        <v>11</v>
      </c>
      <c r="D178" s="192" t="s">
        <v>62</v>
      </c>
      <c r="E178" s="115" t="s">
        <v>153</v>
      </c>
      <c r="F178" s="12" t="s">
        <v>14</v>
      </c>
      <c r="G178" s="22">
        <f t="shared" ref="G178:M178" si="53">G179+G180+G181</f>
        <v>21151290</v>
      </c>
      <c r="H178" s="22">
        <f t="shared" si="53"/>
        <v>0</v>
      </c>
      <c r="I178" s="22">
        <f t="shared" si="53"/>
        <v>21151290</v>
      </c>
      <c r="J178" s="22">
        <f t="shared" si="53"/>
        <v>0</v>
      </c>
      <c r="K178" s="22">
        <f t="shared" si="53"/>
        <v>0</v>
      </c>
      <c r="L178" s="22">
        <f t="shared" si="53"/>
        <v>0</v>
      </c>
      <c r="M178" s="22">
        <f t="shared" si="53"/>
        <v>0</v>
      </c>
      <c r="N178" s="147"/>
    </row>
    <row r="179" spans="1:17" s="31" customFormat="1" ht="21.75" customHeight="1" x14ac:dyDescent="0.3">
      <c r="A179" s="110"/>
      <c r="B179" s="113"/>
      <c r="C179" s="116"/>
      <c r="D179" s="193"/>
      <c r="E179" s="116"/>
      <c r="F179" s="12" t="s">
        <v>133</v>
      </c>
      <c r="G179" s="22">
        <f>H179+I179+J179+K179+M179</f>
        <v>851660</v>
      </c>
      <c r="H179" s="22">
        <v>0</v>
      </c>
      <c r="I179" s="22">
        <f>20320+351340+480000</f>
        <v>851660</v>
      </c>
      <c r="J179" s="22">
        <v>0</v>
      </c>
      <c r="K179" s="22">
        <v>0</v>
      </c>
      <c r="L179" s="22">
        <v>0</v>
      </c>
      <c r="M179" s="22">
        <v>0</v>
      </c>
      <c r="N179" s="147"/>
      <c r="P179" s="32">
        <f>1759000+1400000+4507295+1195000</f>
        <v>8861295</v>
      </c>
      <c r="Q179" s="32">
        <f>P179-O179</f>
        <v>8861295</v>
      </c>
    </row>
    <row r="180" spans="1:17" s="31" customFormat="1" ht="21.75" customHeight="1" x14ac:dyDescent="0.3">
      <c r="A180" s="110"/>
      <c r="B180" s="113"/>
      <c r="C180" s="116"/>
      <c r="D180" s="193"/>
      <c r="E180" s="116"/>
      <c r="F180" s="12" t="s">
        <v>16</v>
      </c>
      <c r="G180" s="22">
        <f>H180+I180+J180+K180+M180</f>
        <v>405992.6</v>
      </c>
      <c r="H180" s="22">
        <v>0</v>
      </c>
      <c r="I180" s="22">
        <v>405992.6</v>
      </c>
      <c r="J180" s="22">
        <v>0</v>
      </c>
      <c r="K180" s="22">
        <v>0</v>
      </c>
      <c r="L180" s="22">
        <v>0</v>
      </c>
      <c r="M180" s="22">
        <v>0</v>
      </c>
      <c r="N180" s="147"/>
      <c r="Q180" s="32"/>
    </row>
    <row r="181" spans="1:17" s="31" customFormat="1" ht="21.75" customHeight="1" x14ac:dyDescent="0.3">
      <c r="A181" s="111"/>
      <c r="B181" s="114"/>
      <c r="C181" s="117"/>
      <c r="D181" s="194"/>
      <c r="E181" s="117"/>
      <c r="F181" s="12" t="s">
        <v>17</v>
      </c>
      <c r="G181" s="22">
        <f>H181+I181+J181+K181+M181</f>
        <v>19893637.399999999</v>
      </c>
      <c r="H181" s="22">
        <v>0</v>
      </c>
      <c r="I181" s="22">
        <v>19893637.399999999</v>
      </c>
      <c r="J181" s="22">
        <v>0</v>
      </c>
      <c r="K181" s="22">
        <v>0</v>
      </c>
      <c r="L181" s="22">
        <v>0</v>
      </c>
      <c r="M181" s="22">
        <v>0</v>
      </c>
      <c r="N181" s="147"/>
      <c r="O181" s="32"/>
    </row>
    <row r="182" spans="1:17" ht="21.75" customHeight="1" x14ac:dyDescent="0.25">
      <c r="A182" s="109" t="s">
        <v>81</v>
      </c>
      <c r="B182" s="112" t="s">
        <v>58</v>
      </c>
      <c r="C182" s="115" t="s">
        <v>11</v>
      </c>
      <c r="D182" s="127" t="s">
        <v>37</v>
      </c>
      <c r="E182" s="115" t="s">
        <v>153</v>
      </c>
      <c r="F182" s="12" t="s">
        <v>14</v>
      </c>
      <c r="G182" s="22">
        <f t="shared" ref="G182:M182" si="54">G183+G184+G185</f>
        <v>58058</v>
      </c>
      <c r="H182" s="22">
        <f t="shared" si="54"/>
        <v>58058</v>
      </c>
      <c r="I182" s="22">
        <f t="shared" si="54"/>
        <v>0</v>
      </c>
      <c r="J182" s="22">
        <f t="shared" si="54"/>
        <v>0</v>
      </c>
      <c r="K182" s="22">
        <f t="shared" si="54"/>
        <v>0</v>
      </c>
      <c r="L182" s="22">
        <f t="shared" si="54"/>
        <v>0</v>
      </c>
      <c r="M182" s="22">
        <f t="shared" si="54"/>
        <v>0</v>
      </c>
      <c r="N182" s="147"/>
    </row>
    <row r="183" spans="1:17" ht="21.75" customHeight="1" x14ac:dyDescent="0.25">
      <c r="A183" s="110"/>
      <c r="B183" s="113"/>
      <c r="C183" s="116"/>
      <c r="D183" s="128"/>
      <c r="E183" s="116"/>
      <c r="F183" s="12" t="s">
        <v>133</v>
      </c>
      <c r="G183" s="22">
        <f>H183+I183+J183+K183+M183</f>
        <v>58058</v>
      </c>
      <c r="H183" s="22">
        <v>58058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147"/>
    </row>
    <row r="184" spans="1:17" ht="21.75" customHeight="1" x14ac:dyDescent="0.25">
      <c r="A184" s="110"/>
      <c r="B184" s="113"/>
      <c r="C184" s="116"/>
      <c r="D184" s="128"/>
      <c r="E184" s="116"/>
      <c r="F184" s="12" t="s">
        <v>16</v>
      </c>
      <c r="G184" s="22">
        <f>H184+I184+J184+K184+M184</f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147"/>
    </row>
    <row r="185" spans="1:17" ht="21.75" customHeight="1" x14ac:dyDescent="0.25">
      <c r="A185" s="111"/>
      <c r="B185" s="114"/>
      <c r="C185" s="116"/>
      <c r="D185" s="129"/>
      <c r="E185" s="117"/>
      <c r="F185" s="12" t="s">
        <v>17</v>
      </c>
      <c r="G185" s="22">
        <f>H185+I185+J185+K185+M185</f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147"/>
    </row>
    <row r="186" spans="1:17" ht="21.75" customHeight="1" x14ac:dyDescent="0.25">
      <c r="A186" s="109" t="s">
        <v>83</v>
      </c>
      <c r="B186" s="112" t="s">
        <v>63</v>
      </c>
      <c r="C186" s="115" t="s">
        <v>11</v>
      </c>
      <c r="D186" s="127" t="s">
        <v>37</v>
      </c>
      <c r="E186" s="115" t="s">
        <v>153</v>
      </c>
      <c r="F186" s="12" t="s">
        <v>14</v>
      </c>
      <c r="G186" s="22">
        <f t="shared" ref="G186:M186" si="55">G187+G188+G189</f>
        <v>676415</v>
      </c>
      <c r="H186" s="22">
        <f t="shared" si="55"/>
        <v>0</v>
      </c>
      <c r="I186" s="22">
        <f t="shared" si="55"/>
        <v>676415</v>
      </c>
      <c r="J186" s="22">
        <f t="shared" si="55"/>
        <v>0</v>
      </c>
      <c r="K186" s="22">
        <f t="shared" si="55"/>
        <v>0</v>
      </c>
      <c r="L186" s="22">
        <f t="shared" si="55"/>
        <v>0</v>
      </c>
      <c r="M186" s="22">
        <f t="shared" si="55"/>
        <v>0</v>
      </c>
      <c r="N186" s="147"/>
    </row>
    <row r="187" spans="1:17" ht="21.75" customHeight="1" x14ac:dyDescent="0.25">
      <c r="A187" s="110"/>
      <c r="B187" s="113"/>
      <c r="C187" s="116"/>
      <c r="D187" s="128"/>
      <c r="E187" s="116"/>
      <c r="F187" s="12" t="s">
        <v>133</v>
      </c>
      <c r="G187" s="22">
        <f>H187+I187+J187+K187+M187</f>
        <v>676415</v>
      </c>
      <c r="H187" s="22">
        <v>0</v>
      </c>
      <c r="I187" s="22">
        <v>676415</v>
      </c>
      <c r="J187" s="22">
        <v>0</v>
      </c>
      <c r="K187" s="22">
        <v>0</v>
      </c>
      <c r="L187" s="22">
        <v>0</v>
      </c>
      <c r="M187" s="22">
        <v>0</v>
      </c>
      <c r="N187" s="147"/>
    </row>
    <row r="188" spans="1:17" ht="21.75" customHeight="1" x14ac:dyDescent="0.25">
      <c r="A188" s="110"/>
      <c r="B188" s="113"/>
      <c r="C188" s="116"/>
      <c r="D188" s="128"/>
      <c r="E188" s="116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47"/>
    </row>
    <row r="189" spans="1:17" ht="21.75" customHeight="1" x14ac:dyDescent="0.25">
      <c r="A189" s="111"/>
      <c r="B189" s="114"/>
      <c r="C189" s="116"/>
      <c r="D189" s="129"/>
      <c r="E189" s="117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47"/>
    </row>
    <row r="190" spans="1:17" ht="21.75" customHeight="1" x14ac:dyDescent="0.25">
      <c r="A190" s="109" t="s">
        <v>120</v>
      </c>
      <c r="B190" s="112" t="s">
        <v>71</v>
      </c>
      <c r="C190" s="115" t="s">
        <v>11</v>
      </c>
      <c r="D190" s="118" t="s">
        <v>149</v>
      </c>
      <c r="E190" s="115" t="s">
        <v>153</v>
      </c>
      <c r="F190" s="12" t="s">
        <v>14</v>
      </c>
      <c r="G190" s="22">
        <f>G191+G192+G193</f>
        <v>227000</v>
      </c>
      <c r="H190" s="22">
        <v>0</v>
      </c>
      <c r="I190" s="22">
        <f>I191+I192+I193</f>
        <v>0</v>
      </c>
      <c r="J190" s="22">
        <f>J191+J192+J193</f>
        <v>0</v>
      </c>
      <c r="K190" s="22">
        <v>0</v>
      </c>
      <c r="L190" s="22">
        <f>L191+L192+L193</f>
        <v>0</v>
      </c>
      <c r="M190" s="22">
        <f>M191+M192+M193</f>
        <v>0</v>
      </c>
      <c r="N190" s="147"/>
    </row>
    <row r="191" spans="1:17" ht="21.75" customHeight="1" x14ac:dyDescent="0.25">
      <c r="A191" s="110"/>
      <c r="B191" s="113"/>
      <c r="C191" s="116"/>
      <c r="D191" s="119"/>
      <c r="E191" s="116"/>
      <c r="F191" s="12" t="s">
        <v>133</v>
      </c>
      <c r="G191" s="22">
        <f>H191+I191+J191+K191+M191</f>
        <v>227000</v>
      </c>
      <c r="H191" s="22">
        <v>227000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147"/>
    </row>
    <row r="192" spans="1:17" ht="21.75" customHeight="1" x14ac:dyDescent="0.25">
      <c r="A192" s="110"/>
      <c r="B192" s="113"/>
      <c r="C192" s="116"/>
      <c r="D192" s="119"/>
      <c r="E192" s="116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47"/>
    </row>
    <row r="193" spans="1:23" ht="21.75" customHeight="1" x14ac:dyDescent="0.25">
      <c r="A193" s="111"/>
      <c r="B193" s="114"/>
      <c r="C193" s="116"/>
      <c r="D193" s="120"/>
      <c r="E193" s="117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47"/>
    </row>
    <row r="194" spans="1:23" ht="21.75" customHeight="1" x14ac:dyDescent="0.25">
      <c r="A194" s="109" t="s">
        <v>86</v>
      </c>
      <c r="B194" s="112" t="s">
        <v>82</v>
      </c>
      <c r="C194" s="115" t="s">
        <v>11</v>
      </c>
      <c r="D194" s="118" t="s">
        <v>42</v>
      </c>
      <c r="E194" s="115" t="s">
        <v>153</v>
      </c>
      <c r="F194" s="12" t="s">
        <v>14</v>
      </c>
      <c r="G194" s="22">
        <f t="shared" ref="G194:M194" si="56">G195+G196+G197</f>
        <v>4525000</v>
      </c>
      <c r="H194" s="22">
        <f t="shared" si="56"/>
        <v>2525000</v>
      </c>
      <c r="I194" s="22">
        <f t="shared" si="56"/>
        <v>2000000</v>
      </c>
      <c r="J194" s="22">
        <f t="shared" si="56"/>
        <v>0</v>
      </c>
      <c r="K194" s="22">
        <f t="shared" si="56"/>
        <v>0</v>
      </c>
      <c r="L194" s="22">
        <f>L195+L196+L197</f>
        <v>0</v>
      </c>
      <c r="M194" s="22">
        <f t="shared" si="56"/>
        <v>0</v>
      </c>
      <c r="N194" s="147"/>
      <c r="O194" s="3"/>
      <c r="W194" s="3" t="e">
        <f>#REF!+#REF!+#REF!+#REF!</f>
        <v>#REF!</v>
      </c>
    </row>
    <row r="195" spans="1:23" ht="21.75" customHeight="1" x14ac:dyDescent="0.25">
      <c r="A195" s="110"/>
      <c r="B195" s="113"/>
      <c r="C195" s="116"/>
      <c r="D195" s="119"/>
      <c r="E195" s="116"/>
      <c r="F195" s="12" t="s">
        <v>133</v>
      </c>
      <c r="G195" s="22">
        <f>H195+I195+J195+K195+M195</f>
        <v>2052500</v>
      </c>
      <c r="H195" s="22">
        <f>1000000+47250+5250</f>
        <v>1052500</v>
      </c>
      <c r="I195" s="22">
        <v>1000000</v>
      </c>
      <c r="J195" s="22">
        <v>0</v>
      </c>
      <c r="K195" s="22">
        <v>0</v>
      </c>
      <c r="L195" s="22">
        <v>0</v>
      </c>
      <c r="M195" s="22">
        <v>0</v>
      </c>
      <c r="N195" s="147"/>
    </row>
    <row r="196" spans="1:23" ht="21.75" customHeight="1" x14ac:dyDescent="0.25">
      <c r="A196" s="110"/>
      <c r="B196" s="113"/>
      <c r="C196" s="116"/>
      <c r="D196" s="119"/>
      <c r="E196" s="116"/>
      <c r="F196" s="12" t="s">
        <v>16</v>
      </c>
      <c r="G196" s="22">
        <f>H196+I196+J196+K196+M196</f>
        <v>2472500</v>
      </c>
      <c r="H196" s="22">
        <f>1000000+472500</f>
        <v>1472500</v>
      </c>
      <c r="I196" s="22">
        <v>1000000</v>
      </c>
      <c r="J196" s="22">
        <v>0</v>
      </c>
      <c r="K196" s="22">
        <v>0</v>
      </c>
      <c r="L196" s="22">
        <v>0</v>
      </c>
      <c r="M196" s="22">
        <v>0</v>
      </c>
      <c r="N196" s="147"/>
    </row>
    <row r="197" spans="1:23" ht="21.75" customHeight="1" x14ac:dyDescent="0.25">
      <c r="A197" s="111"/>
      <c r="B197" s="114"/>
      <c r="C197" s="117"/>
      <c r="D197" s="120"/>
      <c r="E197" s="117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47"/>
    </row>
    <row r="198" spans="1:23" s="10" customFormat="1" ht="21.75" customHeight="1" x14ac:dyDescent="0.25">
      <c r="A198" s="109" t="s">
        <v>121</v>
      </c>
      <c r="B198" s="112" t="s">
        <v>92</v>
      </c>
      <c r="C198" s="115" t="s">
        <v>11</v>
      </c>
      <c r="D198" s="118" t="s">
        <v>42</v>
      </c>
      <c r="E198" s="115" t="s">
        <v>153</v>
      </c>
      <c r="F198" s="12" t="s">
        <v>14</v>
      </c>
      <c r="G198" s="22">
        <f t="shared" ref="G198:M198" si="57">G199+G200+G201</f>
        <v>10389286.050000001</v>
      </c>
      <c r="H198" s="22">
        <f t="shared" si="57"/>
        <v>1316716</v>
      </c>
      <c r="I198" s="22">
        <f t="shared" si="57"/>
        <v>0</v>
      </c>
      <c r="J198" s="22">
        <f t="shared" si="57"/>
        <v>2487958.7999999998</v>
      </c>
      <c r="K198" s="22">
        <f t="shared" si="57"/>
        <v>6584611.25</v>
      </c>
      <c r="L198" s="22">
        <f t="shared" si="57"/>
        <v>0</v>
      </c>
      <c r="M198" s="22">
        <f t="shared" si="57"/>
        <v>0</v>
      </c>
      <c r="N198" s="147"/>
    </row>
    <row r="199" spans="1:23" s="10" customFormat="1" ht="21.75" customHeight="1" x14ac:dyDescent="0.25">
      <c r="A199" s="110"/>
      <c r="B199" s="113"/>
      <c r="C199" s="116"/>
      <c r="D199" s="119"/>
      <c r="E199" s="116"/>
      <c r="F199" s="12" t="s">
        <v>133</v>
      </c>
      <c r="G199" s="22">
        <f>H199+I199+J199+K199+M199</f>
        <v>3940848.25</v>
      </c>
      <c r="H199" s="22">
        <f>368777+87460</f>
        <v>456237</v>
      </c>
      <c r="I199" s="22">
        <v>0</v>
      </c>
      <c r="J199" s="22">
        <f>+'[7]остатки средств в ФК_2'!$R$52</f>
        <v>750000</v>
      </c>
      <c r="K199" s="22">
        <f>2981864-247252.75</f>
        <v>2734611.25</v>
      </c>
      <c r="L199" s="22">
        <v>0</v>
      </c>
      <c r="M199" s="22">
        <v>0</v>
      </c>
      <c r="N199" s="147"/>
    </row>
    <row r="200" spans="1:23" s="10" customFormat="1" ht="21.75" customHeight="1" x14ac:dyDescent="0.25">
      <c r="A200" s="110"/>
      <c r="B200" s="113"/>
      <c r="C200" s="116"/>
      <c r="D200" s="119"/>
      <c r="E200" s="116"/>
      <c r="F200" s="12" t="s">
        <v>16</v>
      </c>
      <c r="G200" s="22">
        <f>H200+I200+J200+K200+M200</f>
        <v>6448437.7999999998</v>
      </c>
      <c r="H200" s="22">
        <v>860479</v>
      </c>
      <c r="I200" s="22">
        <v>0</v>
      </c>
      <c r="J200" s="22">
        <f>'[8]остатки средств в ФК_2'!$Y$46</f>
        <v>1737958.8</v>
      </c>
      <c r="K200" s="22">
        <v>3850000</v>
      </c>
      <c r="L200" s="22">
        <v>0</v>
      </c>
      <c r="M200" s="22">
        <v>0</v>
      </c>
      <c r="N200" s="147"/>
    </row>
    <row r="201" spans="1:23" s="10" customFormat="1" ht="21.75" customHeight="1" x14ac:dyDescent="0.25">
      <c r="A201" s="111"/>
      <c r="B201" s="114"/>
      <c r="C201" s="117"/>
      <c r="D201" s="120"/>
      <c r="E201" s="117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47"/>
    </row>
    <row r="202" spans="1:23" ht="21.75" customHeight="1" x14ac:dyDescent="0.25">
      <c r="A202" s="109" t="s">
        <v>89</v>
      </c>
      <c r="B202" s="112" t="s">
        <v>90</v>
      </c>
      <c r="C202" s="115" t="s">
        <v>11</v>
      </c>
      <c r="D202" s="118" t="s">
        <v>42</v>
      </c>
      <c r="E202" s="115" t="s">
        <v>153</v>
      </c>
      <c r="F202" s="12" t="s">
        <v>14</v>
      </c>
      <c r="G202" s="22">
        <f t="shared" ref="G202:M202" si="58">G203+G204+G205</f>
        <v>0</v>
      </c>
      <c r="H202" s="22">
        <f t="shared" si="58"/>
        <v>0</v>
      </c>
      <c r="I202" s="22">
        <f t="shared" si="58"/>
        <v>0</v>
      </c>
      <c r="J202" s="22">
        <f t="shared" si="58"/>
        <v>0</v>
      </c>
      <c r="K202" s="22">
        <f t="shared" si="58"/>
        <v>0</v>
      </c>
      <c r="L202" s="22">
        <f t="shared" si="58"/>
        <v>0</v>
      </c>
      <c r="M202" s="22">
        <f t="shared" si="58"/>
        <v>0</v>
      </c>
      <c r="N202" s="147"/>
    </row>
    <row r="203" spans="1:23" ht="21.75" customHeight="1" x14ac:dyDescent="0.25">
      <c r="A203" s="110"/>
      <c r="B203" s="113"/>
      <c r="C203" s="116"/>
      <c r="D203" s="119"/>
      <c r="E203" s="116"/>
      <c r="F203" s="12" t="s">
        <v>15</v>
      </c>
      <c r="G203" s="22">
        <f>H203+I203+J203+K203+M203</f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147"/>
    </row>
    <row r="204" spans="1:23" ht="21.75" customHeight="1" x14ac:dyDescent="0.25">
      <c r="A204" s="110"/>
      <c r="B204" s="113"/>
      <c r="C204" s="116"/>
      <c r="D204" s="119"/>
      <c r="E204" s="116"/>
      <c r="F204" s="12" t="s">
        <v>16</v>
      </c>
      <c r="G204" s="22">
        <f>H204+I204+J204+K204+M204</f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147"/>
    </row>
    <row r="205" spans="1:23" ht="21.75" customHeight="1" x14ac:dyDescent="0.25">
      <c r="A205" s="111"/>
      <c r="B205" s="114"/>
      <c r="C205" s="117"/>
      <c r="D205" s="120"/>
      <c r="E205" s="117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47"/>
    </row>
    <row r="206" spans="1:23" ht="21.75" customHeight="1" x14ac:dyDescent="0.25">
      <c r="A206" s="109" t="s">
        <v>94</v>
      </c>
      <c r="B206" s="112" t="s">
        <v>84</v>
      </c>
      <c r="C206" s="115" t="s">
        <v>11</v>
      </c>
      <c r="D206" s="118" t="s">
        <v>12</v>
      </c>
      <c r="E206" s="115" t="s">
        <v>153</v>
      </c>
      <c r="F206" s="12" t="s">
        <v>14</v>
      </c>
      <c r="G206" s="22">
        <f t="shared" ref="G206:M206" si="59">G207+G208+G209</f>
        <v>14483094.709999999</v>
      </c>
      <c r="H206" s="22">
        <f t="shared" si="59"/>
        <v>3038075</v>
      </c>
      <c r="I206" s="22">
        <f t="shared" si="59"/>
        <v>2233000</v>
      </c>
      <c r="J206" s="22">
        <f t="shared" si="59"/>
        <v>2146368.09</v>
      </c>
      <c r="K206" s="22">
        <f t="shared" si="59"/>
        <v>4338328.01</v>
      </c>
      <c r="L206" s="22">
        <f>L207+L208+L209</f>
        <v>2622773.86</v>
      </c>
      <c r="M206" s="22">
        <f t="shared" si="59"/>
        <v>2727323.61</v>
      </c>
      <c r="N206" s="147"/>
    </row>
    <row r="207" spans="1:23" ht="21.75" customHeight="1" x14ac:dyDescent="0.25">
      <c r="A207" s="110"/>
      <c r="B207" s="113"/>
      <c r="C207" s="116"/>
      <c r="D207" s="119"/>
      <c r="E207" s="116"/>
      <c r="F207" s="12" t="s">
        <v>133</v>
      </c>
      <c r="G207" s="22">
        <f t="shared" ref="G207:G217" si="60">H207+I207+J207+K207+M207</f>
        <v>12311962.709999999</v>
      </c>
      <c r="H207" s="22">
        <f>3200000-300000-62034+62034</f>
        <v>2900000</v>
      </c>
      <c r="I207" s="22">
        <f>1933000+300000</f>
        <v>2233000</v>
      </c>
      <c r="J207" s="22">
        <v>2146368.09</v>
      </c>
      <c r="K207" s="22">
        <f>2152700.14+152570.87</f>
        <v>2305271.0100000002</v>
      </c>
      <c r="L207" s="22">
        <v>2622773.86</v>
      </c>
      <c r="M207" s="22">
        <v>2727323.61</v>
      </c>
      <c r="N207" s="147"/>
    </row>
    <row r="208" spans="1:23" ht="21.75" customHeight="1" x14ac:dyDescent="0.25">
      <c r="A208" s="110"/>
      <c r="B208" s="113"/>
      <c r="C208" s="116"/>
      <c r="D208" s="119"/>
      <c r="E208" s="116"/>
      <c r="F208" s="12" t="s">
        <v>16</v>
      </c>
      <c r="G208" s="22">
        <f t="shared" si="60"/>
        <v>2171132</v>
      </c>
      <c r="H208" s="22">
        <v>138075</v>
      </c>
      <c r="I208" s="22">
        <v>0</v>
      </c>
      <c r="J208" s="22">
        <v>0</v>
      </c>
      <c r="K208" s="22">
        <f>490396+1542661</f>
        <v>2033057</v>
      </c>
      <c r="L208" s="22">
        <v>0</v>
      </c>
      <c r="M208" s="22">
        <v>0</v>
      </c>
      <c r="N208" s="147"/>
      <c r="P208" s="3"/>
    </row>
    <row r="209" spans="1:16" ht="21.75" customHeight="1" x14ac:dyDescent="0.25">
      <c r="A209" s="111"/>
      <c r="B209" s="114"/>
      <c r="C209" s="117"/>
      <c r="D209" s="120"/>
      <c r="E209" s="117"/>
      <c r="F209" s="12" t="s">
        <v>17</v>
      </c>
      <c r="G209" s="22">
        <f t="shared" si="60"/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47"/>
      <c r="P209" s="3"/>
    </row>
    <row r="210" spans="1:16" ht="21.75" customHeight="1" x14ac:dyDescent="0.25">
      <c r="A210" s="195" t="s">
        <v>102</v>
      </c>
      <c r="B210" s="112" t="s">
        <v>87</v>
      </c>
      <c r="C210" s="115" t="s">
        <v>11</v>
      </c>
      <c r="D210" s="118" t="s">
        <v>42</v>
      </c>
      <c r="E210" s="115" t="s">
        <v>153</v>
      </c>
      <c r="F210" s="12" t="s">
        <v>14</v>
      </c>
      <c r="G210" s="22">
        <f t="shared" ref="G210:M210" si="61">G211+G212+G213</f>
        <v>7252429.1299999999</v>
      </c>
      <c r="H210" s="22">
        <f t="shared" si="61"/>
        <v>525000</v>
      </c>
      <c r="I210" s="22">
        <f t="shared" si="61"/>
        <v>0</v>
      </c>
      <c r="J210" s="22">
        <f t="shared" si="61"/>
        <v>610000</v>
      </c>
      <c r="K210" s="22">
        <f t="shared" si="61"/>
        <v>4017429.13</v>
      </c>
      <c r="L210" s="22">
        <f>L211+L212+L213</f>
        <v>2100000</v>
      </c>
      <c r="M210" s="22">
        <f t="shared" si="61"/>
        <v>2100000</v>
      </c>
      <c r="N210" s="147"/>
    </row>
    <row r="211" spans="1:16" ht="21.75" customHeight="1" x14ac:dyDescent="0.25">
      <c r="A211" s="110"/>
      <c r="B211" s="113"/>
      <c r="C211" s="116"/>
      <c r="D211" s="119"/>
      <c r="E211" s="116"/>
      <c r="F211" s="12" t="s">
        <v>133</v>
      </c>
      <c r="G211" s="22">
        <f t="shared" si="60"/>
        <v>4932429.13</v>
      </c>
      <c r="H211" s="22">
        <f>700000+300000-475000</f>
        <v>525000</v>
      </c>
      <c r="I211" s="22">
        <v>0</v>
      </c>
      <c r="J211" s="22">
        <f>500000+600000-140000-600000</f>
        <v>360000</v>
      </c>
      <c r="K211" s="22">
        <f>2100000-152570.87</f>
        <v>1947429.13</v>
      </c>
      <c r="L211" s="22">
        <v>2100000</v>
      </c>
      <c r="M211" s="22">
        <v>2100000</v>
      </c>
      <c r="N211" s="147"/>
      <c r="P211" s="2">
        <v>854209197.39999998</v>
      </c>
    </row>
    <row r="212" spans="1:16" ht="21.75" customHeight="1" x14ac:dyDescent="0.25">
      <c r="A212" s="110"/>
      <c r="B212" s="113"/>
      <c r="C212" s="116"/>
      <c r="D212" s="119"/>
      <c r="E212" s="116"/>
      <c r="F212" s="12" t="s">
        <v>16</v>
      </c>
      <c r="G212" s="22">
        <f t="shared" si="60"/>
        <v>2320000</v>
      </c>
      <c r="H212" s="22">
        <v>0</v>
      </c>
      <c r="I212" s="22">
        <v>0</v>
      </c>
      <c r="J212" s="22">
        <v>250000</v>
      </c>
      <c r="K212" s="22">
        <v>2070000</v>
      </c>
      <c r="L212" s="22">
        <v>0</v>
      </c>
      <c r="M212" s="22">
        <v>0</v>
      </c>
      <c r="N212" s="147"/>
      <c r="P212" s="2">
        <v>852492090</v>
      </c>
    </row>
    <row r="213" spans="1:16" ht="21.75" customHeight="1" x14ac:dyDescent="0.25">
      <c r="A213" s="111"/>
      <c r="B213" s="114"/>
      <c r="C213" s="117"/>
      <c r="D213" s="120"/>
      <c r="E213" s="117"/>
      <c r="F213" s="12" t="s">
        <v>17</v>
      </c>
      <c r="G213" s="22">
        <f t="shared" si="60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47"/>
      <c r="P213" s="2">
        <f>P211-P212</f>
        <v>1717107.3999999762</v>
      </c>
    </row>
    <row r="214" spans="1:16" ht="21.75" hidden="1" customHeight="1" outlineLevel="1" x14ac:dyDescent="0.25">
      <c r="A214" s="54"/>
      <c r="B214" s="112" t="s">
        <v>88</v>
      </c>
      <c r="C214" s="115" t="s">
        <v>11</v>
      </c>
      <c r="D214" s="115"/>
      <c r="E214" s="115" t="s">
        <v>153</v>
      </c>
      <c r="F214" s="12" t="s">
        <v>14</v>
      </c>
      <c r="G214" s="22">
        <f t="shared" ref="G214:M214" si="62">G215+G216+G217</f>
        <v>0</v>
      </c>
      <c r="H214" s="22">
        <f t="shared" si="62"/>
        <v>0</v>
      </c>
      <c r="I214" s="22">
        <f t="shared" si="62"/>
        <v>0</v>
      </c>
      <c r="J214" s="22">
        <f t="shared" si="62"/>
        <v>0</v>
      </c>
      <c r="K214" s="22">
        <f t="shared" si="62"/>
        <v>0</v>
      </c>
      <c r="L214" s="22">
        <f>L215+L216+L217</f>
        <v>0</v>
      </c>
      <c r="M214" s="22">
        <f t="shared" si="62"/>
        <v>0</v>
      </c>
      <c r="N214" s="147"/>
    </row>
    <row r="215" spans="1:16" ht="21.75" hidden="1" customHeight="1" outlineLevel="1" x14ac:dyDescent="0.25">
      <c r="A215" s="53" t="s">
        <v>89</v>
      </c>
      <c r="B215" s="113"/>
      <c r="C215" s="116"/>
      <c r="D215" s="116"/>
      <c r="E215" s="116"/>
      <c r="F215" s="12" t="s">
        <v>15</v>
      </c>
      <c r="G215" s="22">
        <f t="shared" si="60"/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147"/>
    </row>
    <row r="216" spans="1:16" ht="21.75" hidden="1" customHeight="1" outlineLevel="1" x14ac:dyDescent="0.25">
      <c r="A216" s="54"/>
      <c r="B216" s="113"/>
      <c r="C216" s="116"/>
      <c r="D216" s="116"/>
      <c r="E216" s="116"/>
      <c r="F216" s="12" t="s">
        <v>16</v>
      </c>
      <c r="G216" s="22">
        <f t="shared" si="60"/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147"/>
    </row>
    <row r="217" spans="1:16" ht="21.75" hidden="1" customHeight="1" outlineLevel="1" x14ac:dyDescent="0.25">
      <c r="A217" s="54"/>
      <c r="B217" s="114"/>
      <c r="C217" s="117"/>
      <c r="D217" s="117"/>
      <c r="E217" s="117"/>
      <c r="F217" s="12" t="s">
        <v>17</v>
      </c>
      <c r="G217" s="22">
        <f t="shared" si="60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47"/>
    </row>
    <row r="218" spans="1:16" ht="21.75" hidden="1" customHeight="1" outlineLevel="1" x14ac:dyDescent="0.25">
      <c r="A218" s="109" t="s">
        <v>91</v>
      </c>
      <c r="B218" s="112" t="s">
        <v>90</v>
      </c>
      <c r="C218" s="115" t="s">
        <v>11</v>
      </c>
      <c r="D218" s="115"/>
      <c r="E218" s="115" t="s">
        <v>153</v>
      </c>
      <c r="F218" s="12" t="s">
        <v>14</v>
      </c>
      <c r="G218" s="22">
        <f t="shared" ref="G218:M218" si="63">G219+G220+G221</f>
        <v>0</v>
      </c>
      <c r="H218" s="22">
        <f t="shared" si="63"/>
        <v>0</v>
      </c>
      <c r="I218" s="22">
        <f t="shared" si="63"/>
        <v>0</v>
      </c>
      <c r="J218" s="22">
        <f t="shared" si="63"/>
        <v>0</v>
      </c>
      <c r="K218" s="22">
        <f t="shared" si="63"/>
        <v>0</v>
      </c>
      <c r="L218" s="22">
        <f>L219+L220+L221</f>
        <v>0</v>
      </c>
      <c r="M218" s="22">
        <f t="shared" si="63"/>
        <v>0</v>
      </c>
      <c r="N218" s="147"/>
    </row>
    <row r="219" spans="1:16" ht="21.75" hidden="1" customHeight="1" outlineLevel="1" x14ac:dyDescent="0.25">
      <c r="A219" s="110"/>
      <c r="B219" s="113"/>
      <c r="C219" s="116"/>
      <c r="D219" s="116"/>
      <c r="E219" s="116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47"/>
    </row>
    <row r="220" spans="1:16" ht="21.75" hidden="1" customHeight="1" outlineLevel="1" x14ac:dyDescent="0.25">
      <c r="A220" s="110"/>
      <c r="B220" s="113"/>
      <c r="C220" s="116"/>
      <c r="D220" s="116"/>
      <c r="E220" s="116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47"/>
    </row>
    <row r="221" spans="1:16" ht="21.75" hidden="1" customHeight="1" outlineLevel="1" x14ac:dyDescent="0.25">
      <c r="A221" s="111"/>
      <c r="B221" s="114"/>
      <c r="C221" s="117"/>
      <c r="D221" s="117"/>
      <c r="E221" s="117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47"/>
    </row>
    <row r="222" spans="1:16" ht="21.75" hidden="1" customHeight="1" outlineLevel="1" x14ac:dyDescent="0.25">
      <c r="A222" s="54"/>
      <c r="B222" s="112" t="s">
        <v>85</v>
      </c>
      <c r="C222" s="115" t="s">
        <v>11</v>
      </c>
      <c r="D222" s="115"/>
      <c r="E222" s="115" t="s">
        <v>153</v>
      </c>
      <c r="F222" s="12" t="s">
        <v>14</v>
      </c>
      <c r="G222" s="22">
        <f t="shared" ref="G222:M222" si="64">G223+G224+G225</f>
        <v>0</v>
      </c>
      <c r="H222" s="22">
        <f t="shared" si="64"/>
        <v>0</v>
      </c>
      <c r="I222" s="22">
        <f t="shared" si="64"/>
        <v>0</v>
      </c>
      <c r="J222" s="22">
        <f t="shared" si="64"/>
        <v>0</v>
      </c>
      <c r="K222" s="22">
        <f t="shared" si="64"/>
        <v>0</v>
      </c>
      <c r="L222" s="22">
        <f>L223+L224+L225</f>
        <v>0</v>
      </c>
      <c r="M222" s="22">
        <f t="shared" si="64"/>
        <v>0</v>
      </c>
      <c r="N222" s="147"/>
      <c r="P222" s="3"/>
    </row>
    <row r="223" spans="1:16" ht="21.75" hidden="1" customHeight="1" outlineLevel="1" x14ac:dyDescent="0.25">
      <c r="A223" s="54"/>
      <c r="B223" s="113"/>
      <c r="C223" s="116"/>
      <c r="D223" s="116"/>
      <c r="E223" s="116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47"/>
      <c r="P223" s="3"/>
    </row>
    <row r="224" spans="1:16" ht="21.75" hidden="1" customHeight="1" outlineLevel="1" x14ac:dyDescent="0.25">
      <c r="A224" s="53" t="s">
        <v>122</v>
      </c>
      <c r="B224" s="113"/>
      <c r="C224" s="116"/>
      <c r="D224" s="116"/>
      <c r="E224" s="116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47"/>
      <c r="P224" s="3"/>
    </row>
    <row r="225" spans="1:16" ht="21.75" hidden="1" customHeight="1" outlineLevel="1" x14ac:dyDescent="0.25">
      <c r="A225" s="54"/>
      <c r="B225" s="114"/>
      <c r="C225" s="117"/>
      <c r="D225" s="117"/>
      <c r="E225" s="117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48"/>
      <c r="P225" s="3"/>
    </row>
    <row r="226" spans="1:16" ht="21.75" customHeight="1" collapsed="1" x14ac:dyDescent="0.25">
      <c r="A226" s="153"/>
      <c r="B226" s="186" t="s">
        <v>141</v>
      </c>
      <c r="C226" s="159" t="s">
        <v>11</v>
      </c>
      <c r="D226" s="162" t="s">
        <v>93</v>
      </c>
      <c r="E226" s="159" t="s">
        <v>153</v>
      </c>
      <c r="F226" s="34" t="s">
        <v>14</v>
      </c>
      <c r="G226" s="35">
        <f t="shared" ref="G226:M226" si="65">G227+G228+G229</f>
        <v>23304948.289999999</v>
      </c>
      <c r="H226" s="35">
        <f t="shared" si="65"/>
        <v>1942784.25</v>
      </c>
      <c r="I226" s="35">
        <f t="shared" si="65"/>
        <v>4335490.6399999997</v>
      </c>
      <c r="J226" s="35">
        <f t="shared" si="65"/>
        <v>5072468.2399999993</v>
      </c>
      <c r="K226" s="35">
        <f t="shared" si="65"/>
        <v>6076901.9199999999</v>
      </c>
      <c r="L226" s="35">
        <f>L227+L228+L229</f>
        <v>5670475.4000000004</v>
      </c>
      <c r="M226" s="35">
        <f t="shared" si="65"/>
        <v>5877303.2400000002</v>
      </c>
      <c r="N226" s="189"/>
    </row>
    <row r="227" spans="1:16" ht="21.75" customHeight="1" x14ac:dyDescent="0.25">
      <c r="A227" s="154"/>
      <c r="B227" s="187"/>
      <c r="C227" s="160"/>
      <c r="D227" s="160"/>
      <c r="E227" s="160"/>
      <c r="F227" s="34" t="s">
        <v>133</v>
      </c>
      <c r="G227" s="35">
        <f>H227+I227+J227+K227+M227</f>
        <v>3937369.86</v>
      </c>
      <c r="H227" s="35">
        <f t="shared" ref="H227:I229" si="66">H231+H235+H239+H247+H243</f>
        <v>1742784.25</v>
      </c>
      <c r="I227" s="35">
        <f>I231+I235+I239+I247+I243</f>
        <v>722529.92999999993</v>
      </c>
      <c r="J227" s="35">
        <f t="shared" ref="J227:M229" si="67">J231+J235+J239+J247+J243</f>
        <v>472055.68</v>
      </c>
      <c r="K227" s="35">
        <f t="shared" si="67"/>
        <v>500000</v>
      </c>
      <c r="L227" s="35">
        <f>L231+L235+L239+L247+L243</f>
        <v>500000</v>
      </c>
      <c r="M227" s="35">
        <f t="shared" si="67"/>
        <v>500000</v>
      </c>
      <c r="N227" s="190"/>
    </row>
    <row r="228" spans="1:16" ht="21.75" customHeight="1" x14ac:dyDescent="0.25">
      <c r="A228" s="154"/>
      <c r="B228" s="187"/>
      <c r="C228" s="160"/>
      <c r="D228" s="160"/>
      <c r="E228" s="160"/>
      <c r="F228" s="34" t="s">
        <v>16</v>
      </c>
      <c r="G228" s="35">
        <f>H228+I228+J228+K228+M228</f>
        <v>19367578.43</v>
      </c>
      <c r="H228" s="35">
        <f t="shared" si="66"/>
        <v>200000</v>
      </c>
      <c r="I228" s="35">
        <f t="shared" si="66"/>
        <v>3612960.71</v>
      </c>
      <c r="J228" s="35">
        <f t="shared" si="67"/>
        <v>4600412.5599999996</v>
      </c>
      <c r="K228" s="35">
        <f t="shared" si="67"/>
        <v>5576901.9199999999</v>
      </c>
      <c r="L228" s="35">
        <f>L232+L236+L240+L248+L244</f>
        <v>5170475.4000000004</v>
      </c>
      <c r="M228" s="35">
        <f t="shared" si="67"/>
        <v>5377303.2400000002</v>
      </c>
      <c r="N228" s="190"/>
    </row>
    <row r="229" spans="1:16" ht="21.75" customHeight="1" x14ac:dyDescent="0.25">
      <c r="A229" s="155"/>
      <c r="B229" s="188"/>
      <c r="C229" s="161"/>
      <c r="D229" s="161"/>
      <c r="E229" s="161"/>
      <c r="F229" s="34" t="s">
        <v>17</v>
      </c>
      <c r="G229" s="35">
        <f>H229+I229+J229+K229+M229</f>
        <v>0</v>
      </c>
      <c r="H229" s="35">
        <f t="shared" si="66"/>
        <v>0</v>
      </c>
      <c r="I229" s="35">
        <f t="shared" si="66"/>
        <v>0</v>
      </c>
      <c r="J229" s="35">
        <f t="shared" si="67"/>
        <v>0</v>
      </c>
      <c r="K229" s="35">
        <f t="shared" si="67"/>
        <v>0</v>
      </c>
      <c r="L229" s="35">
        <f>L233+L237+L241+L249+L245</f>
        <v>0</v>
      </c>
      <c r="M229" s="35">
        <f t="shared" si="67"/>
        <v>0</v>
      </c>
      <c r="N229" s="191"/>
    </row>
    <row r="230" spans="1:16" ht="21.75" customHeight="1" x14ac:dyDescent="0.25">
      <c r="A230" s="109" t="s">
        <v>18</v>
      </c>
      <c r="B230" s="112" t="s">
        <v>138</v>
      </c>
      <c r="C230" s="115" t="s">
        <v>11</v>
      </c>
      <c r="D230" s="118" t="s">
        <v>95</v>
      </c>
      <c r="E230" s="115" t="s">
        <v>153</v>
      </c>
      <c r="F230" s="12" t="s">
        <v>14</v>
      </c>
      <c r="G230" s="22">
        <f t="shared" ref="G230:M230" si="68">G231+G232+G233</f>
        <v>1525881.79</v>
      </c>
      <c r="H230" s="22">
        <f t="shared" si="68"/>
        <v>1426776.79</v>
      </c>
      <c r="I230" s="22">
        <f t="shared" si="68"/>
        <v>0</v>
      </c>
      <c r="J230" s="48">
        <f t="shared" si="68"/>
        <v>50969</v>
      </c>
      <c r="K230" s="22">
        <f t="shared" si="68"/>
        <v>24068</v>
      </c>
      <c r="L230" s="22">
        <f>L231+L232+L233</f>
        <v>24068</v>
      </c>
      <c r="M230" s="22">
        <f t="shared" si="68"/>
        <v>24068</v>
      </c>
      <c r="N230" s="196" t="s">
        <v>150</v>
      </c>
    </row>
    <row r="231" spans="1:16" ht="21.75" customHeight="1" x14ac:dyDescent="0.25">
      <c r="A231" s="110"/>
      <c r="B231" s="113"/>
      <c r="C231" s="116"/>
      <c r="D231" s="119"/>
      <c r="E231" s="116"/>
      <c r="F231" s="12" t="s">
        <v>133</v>
      </c>
      <c r="G231" s="22">
        <f>H231+I231+J231+K231+M231</f>
        <v>1525881.79</v>
      </c>
      <c r="H231" s="22">
        <f>76776.79+1000000+350000</f>
        <v>1426776.79</v>
      </c>
      <c r="I231" s="22">
        <v>0</v>
      </c>
      <c r="J231" s="48">
        <f>'[9]2022 год'!$D$15+'[9]2022 год'!$E$19</f>
        <v>50969</v>
      </c>
      <c r="K231" s="22">
        <v>24068</v>
      </c>
      <c r="L231" s="22">
        <v>24068</v>
      </c>
      <c r="M231" s="22">
        <v>24068</v>
      </c>
      <c r="N231" s="197"/>
    </row>
    <row r="232" spans="1:16" ht="21.75" customHeight="1" x14ac:dyDescent="0.25">
      <c r="A232" s="110"/>
      <c r="B232" s="113"/>
      <c r="C232" s="116"/>
      <c r="D232" s="119"/>
      <c r="E232" s="116"/>
      <c r="F232" s="12" t="s">
        <v>16</v>
      </c>
      <c r="G232" s="22">
        <f>H232+I232+J232+K232+M232</f>
        <v>0</v>
      </c>
      <c r="H232" s="22">
        <v>0</v>
      </c>
      <c r="I232" s="22">
        <v>0</v>
      </c>
      <c r="J232" s="48">
        <v>0</v>
      </c>
      <c r="K232" s="22">
        <v>0</v>
      </c>
      <c r="L232" s="22">
        <v>0</v>
      </c>
      <c r="M232" s="22">
        <v>0</v>
      </c>
      <c r="N232" s="197"/>
    </row>
    <row r="233" spans="1:16" ht="21.75" customHeight="1" x14ac:dyDescent="0.25">
      <c r="A233" s="111"/>
      <c r="B233" s="114"/>
      <c r="C233" s="116"/>
      <c r="D233" s="120"/>
      <c r="E233" s="117"/>
      <c r="F233" s="12" t="s">
        <v>17</v>
      </c>
      <c r="G233" s="22">
        <f>H233+I233+J233+K233+M233</f>
        <v>0</v>
      </c>
      <c r="H233" s="22">
        <v>0</v>
      </c>
      <c r="I233" s="22">
        <v>0</v>
      </c>
      <c r="J233" s="48">
        <v>0</v>
      </c>
      <c r="K233" s="22">
        <v>0</v>
      </c>
      <c r="L233" s="22">
        <v>0</v>
      </c>
      <c r="M233" s="22">
        <v>0</v>
      </c>
      <c r="N233" s="197"/>
    </row>
    <row r="234" spans="1:16" ht="21.75" customHeight="1" x14ac:dyDescent="0.25">
      <c r="A234" s="109" t="s">
        <v>78</v>
      </c>
      <c r="B234" s="112" t="s">
        <v>96</v>
      </c>
      <c r="C234" s="115" t="s">
        <v>11</v>
      </c>
      <c r="D234" s="118" t="s">
        <v>93</v>
      </c>
      <c r="E234" s="115" t="s">
        <v>153</v>
      </c>
      <c r="F234" s="12" t="s">
        <v>14</v>
      </c>
      <c r="G234" s="22">
        <f t="shared" ref="G234:M234" si="69">G235+G236+G237</f>
        <v>1493382.4000000001</v>
      </c>
      <c r="H234" s="22">
        <f t="shared" si="69"/>
        <v>199970.46</v>
      </c>
      <c r="I234" s="22">
        <f t="shared" si="69"/>
        <v>422529.93</v>
      </c>
      <c r="J234" s="48">
        <f t="shared" si="69"/>
        <v>279313.93</v>
      </c>
      <c r="K234" s="22">
        <f t="shared" si="69"/>
        <v>295784.03999999998</v>
      </c>
      <c r="L234" s="22">
        <f>L235+L236+L237</f>
        <v>295784.03999999998</v>
      </c>
      <c r="M234" s="22">
        <f t="shared" si="69"/>
        <v>295784.03999999998</v>
      </c>
      <c r="N234" s="197"/>
    </row>
    <row r="235" spans="1:16" ht="21.75" customHeight="1" x14ac:dyDescent="0.25">
      <c r="A235" s="110"/>
      <c r="B235" s="113"/>
      <c r="C235" s="116"/>
      <c r="D235" s="119"/>
      <c r="E235" s="116"/>
      <c r="F235" s="12" t="s">
        <v>133</v>
      </c>
      <c r="G235" s="22">
        <f>H235+I235+J235+K235+M235</f>
        <v>1493382.4000000001</v>
      </c>
      <c r="H235" s="22">
        <f>190170.46+9800</f>
        <v>199970.46</v>
      </c>
      <c r="I235" s="22">
        <v>422529.93</v>
      </c>
      <c r="J235" s="48">
        <f>'[9]2022 год'!$C$20+'[9]2022 год'!$F$20-27944.32</f>
        <v>279313.93</v>
      </c>
      <c r="K235" s="22">
        <v>295784.03999999998</v>
      </c>
      <c r="L235" s="22">
        <v>295784.03999999998</v>
      </c>
      <c r="M235" s="22">
        <v>295784.03999999998</v>
      </c>
      <c r="N235" s="197"/>
    </row>
    <row r="236" spans="1:16" ht="21.75" customHeight="1" x14ac:dyDescent="0.25">
      <c r="A236" s="110"/>
      <c r="B236" s="113"/>
      <c r="C236" s="116"/>
      <c r="D236" s="119"/>
      <c r="E236" s="116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97"/>
    </row>
    <row r="237" spans="1:16" ht="21.75" customHeight="1" x14ac:dyDescent="0.25">
      <c r="A237" s="111"/>
      <c r="B237" s="114"/>
      <c r="C237" s="116"/>
      <c r="D237" s="120"/>
      <c r="E237" s="117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97"/>
    </row>
    <row r="238" spans="1:16" ht="21.75" customHeight="1" x14ac:dyDescent="0.25">
      <c r="A238" s="109" t="s">
        <v>81</v>
      </c>
      <c r="B238" s="112" t="s">
        <v>97</v>
      </c>
      <c r="C238" s="115" t="s">
        <v>11</v>
      </c>
      <c r="D238" s="118" t="s">
        <v>42</v>
      </c>
      <c r="E238" s="115" t="s">
        <v>153</v>
      </c>
      <c r="F238" s="12" t="s">
        <v>14</v>
      </c>
      <c r="G238" s="22">
        <f t="shared" ref="G238:M238" si="70">G239+G240+G241</f>
        <v>0</v>
      </c>
      <c r="H238" s="22">
        <f t="shared" si="70"/>
        <v>0</v>
      </c>
      <c r="I238" s="22">
        <f t="shared" si="70"/>
        <v>0</v>
      </c>
      <c r="J238" s="48">
        <f t="shared" si="70"/>
        <v>0</v>
      </c>
      <c r="K238" s="22">
        <f t="shared" si="70"/>
        <v>0</v>
      </c>
      <c r="L238" s="22">
        <f>L239+L240+L241</f>
        <v>0</v>
      </c>
      <c r="M238" s="22">
        <f t="shared" si="70"/>
        <v>0</v>
      </c>
      <c r="N238" s="197"/>
    </row>
    <row r="239" spans="1:16" ht="21.75" customHeight="1" x14ac:dyDescent="0.25">
      <c r="A239" s="110"/>
      <c r="B239" s="113"/>
      <c r="C239" s="116"/>
      <c r="D239" s="119"/>
      <c r="E239" s="116"/>
      <c r="F239" s="12" t="s">
        <v>133</v>
      </c>
      <c r="G239" s="22">
        <f>H239+I239+J239+K239+M239</f>
        <v>0</v>
      </c>
      <c r="H239" s="22">
        <v>0</v>
      </c>
      <c r="I239" s="22">
        <v>0</v>
      </c>
      <c r="J239" s="48">
        <v>0</v>
      </c>
      <c r="K239" s="22"/>
      <c r="L239" s="22">
        <v>0</v>
      </c>
      <c r="M239" s="22">
        <v>0</v>
      </c>
      <c r="N239" s="197"/>
    </row>
    <row r="240" spans="1:16" ht="21.75" customHeight="1" x14ac:dyDescent="0.25">
      <c r="A240" s="110"/>
      <c r="B240" s="113"/>
      <c r="C240" s="116"/>
      <c r="D240" s="119"/>
      <c r="E240" s="116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197"/>
    </row>
    <row r="241" spans="1:14" ht="21.75" customHeight="1" x14ac:dyDescent="0.25">
      <c r="A241" s="111"/>
      <c r="B241" s="114"/>
      <c r="C241" s="116"/>
      <c r="D241" s="120"/>
      <c r="E241" s="117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97"/>
    </row>
    <row r="242" spans="1:14" ht="21.75" customHeight="1" x14ac:dyDescent="0.25">
      <c r="A242" s="109" t="s">
        <v>94</v>
      </c>
      <c r="B242" s="112" t="s">
        <v>98</v>
      </c>
      <c r="C242" s="115" t="s">
        <v>11</v>
      </c>
      <c r="D242" s="118" t="s">
        <v>99</v>
      </c>
      <c r="E242" s="115" t="s">
        <v>153</v>
      </c>
      <c r="F242" s="12" t="s">
        <v>14</v>
      </c>
      <c r="G242" s="22">
        <f t="shared" ref="G242:M242" si="71">G243+G244+G245</f>
        <v>2044402.67</v>
      </c>
      <c r="H242" s="22">
        <f t="shared" si="71"/>
        <v>316037</v>
      </c>
      <c r="I242" s="22">
        <f t="shared" si="71"/>
        <v>390000</v>
      </c>
      <c r="J242" s="48">
        <f t="shared" si="71"/>
        <v>372772.75</v>
      </c>
      <c r="K242" s="22">
        <f t="shared" si="71"/>
        <v>785444.96</v>
      </c>
      <c r="L242" s="22">
        <f>L243+L244+L245</f>
        <v>180147.96</v>
      </c>
      <c r="M242" s="22">
        <f t="shared" si="71"/>
        <v>180147.96</v>
      </c>
      <c r="N242" s="197"/>
    </row>
    <row r="243" spans="1:14" ht="21.75" customHeight="1" x14ac:dyDescent="0.25">
      <c r="A243" s="110"/>
      <c r="B243" s="113"/>
      <c r="C243" s="116"/>
      <c r="D243" s="119"/>
      <c r="E243" s="116"/>
      <c r="F243" s="12" t="s">
        <v>133</v>
      </c>
      <c r="G243" s="22">
        <f>H243+I243+J243+K243+M243</f>
        <v>718105.66999999993</v>
      </c>
      <c r="H243" s="22">
        <v>116037</v>
      </c>
      <c r="I243" s="22">
        <f>157703.92-57703.92</f>
        <v>100000.00000000001</v>
      </c>
      <c r="J243" s="48">
        <f>110000+'[9]2022 год'!$D$19</f>
        <v>141772.75</v>
      </c>
      <c r="K243" s="22">
        <v>180147.96</v>
      </c>
      <c r="L243" s="22">
        <v>180147.96</v>
      </c>
      <c r="M243" s="22">
        <v>180147.96</v>
      </c>
      <c r="N243" s="197"/>
    </row>
    <row r="244" spans="1:14" ht="21.75" customHeight="1" x14ac:dyDescent="0.25">
      <c r="A244" s="110"/>
      <c r="B244" s="113"/>
      <c r="C244" s="116"/>
      <c r="D244" s="119"/>
      <c r="E244" s="116"/>
      <c r="F244" s="12" t="s">
        <v>16</v>
      </c>
      <c r="G244" s="22">
        <f>H244+I244+J244+K244+M244</f>
        <v>1326297</v>
      </c>
      <c r="H244" s="22">
        <v>200000</v>
      </c>
      <c r="I244" s="22">
        <v>290000</v>
      </c>
      <c r="J244" s="48">
        <v>231000</v>
      </c>
      <c r="K244" s="22">
        <v>605297</v>
      </c>
      <c r="L244" s="22">
        <v>0</v>
      </c>
      <c r="M244" s="22">
        <v>0</v>
      </c>
      <c r="N244" s="197"/>
    </row>
    <row r="245" spans="1:14" ht="21.75" customHeight="1" x14ac:dyDescent="0.25">
      <c r="A245" s="111"/>
      <c r="B245" s="114"/>
      <c r="C245" s="116"/>
      <c r="D245" s="120"/>
      <c r="E245" s="117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197"/>
    </row>
    <row r="246" spans="1:14" ht="21.75" customHeight="1" x14ac:dyDescent="0.25">
      <c r="A246" s="109" t="s">
        <v>102</v>
      </c>
      <c r="B246" s="112" t="s">
        <v>100</v>
      </c>
      <c r="C246" s="115" t="s">
        <v>11</v>
      </c>
      <c r="D246" s="118" t="s">
        <v>101</v>
      </c>
      <c r="E246" s="115" t="s">
        <v>153</v>
      </c>
      <c r="F246" s="12" t="s">
        <v>14</v>
      </c>
      <c r="G246" s="22">
        <f t="shared" ref="G246:M246" si="72">G247+G248+G249</f>
        <v>18241281.43</v>
      </c>
      <c r="H246" s="22">
        <f t="shared" si="72"/>
        <v>0</v>
      </c>
      <c r="I246" s="22">
        <f t="shared" si="72"/>
        <v>3522960.71</v>
      </c>
      <c r="J246" s="48">
        <f t="shared" si="72"/>
        <v>4369412.5599999996</v>
      </c>
      <c r="K246" s="22">
        <f t="shared" si="72"/>
        <v>4971604.92</v>
      </c>
      <c r="L246" s="22">
        <f>L247+L248+L249</f>
        <v>5170475.4000000004</v>
      </c>
      <c r="M246" s="22">
        <f t="shared" si="72"/>
        <v>5377303.2400000002</v>
      </c>
      <c r="N246" s="197"/>
    </row>
    <row r="247" spans="1:14" ht="21.75" customHeight="1" x14ac:dyDescent="0.25">
      <c r="A247" s="110"/>
      <c r="B247" s="113"/>
      <c r="C247" s="116"/>
      <c r="D247" s="119"/>
      <c r="E247" s="116"/>
      <c r="F247" s="12" t="s">
        <v>133</v>
      </c>
      <c r="G247" s="22">
        <f>H247+I247+J247+K247+M247</f>
        <v>200000</v>
      </c>
      <c r="H247" s="22">
        <v>0</v>
      </c>
      <c r="I247" s="22">
        <f>200000+572400-572400</f>
        <v>200000</v>
      </c>
      <c r="J247" s="48">
        <v>0</v>
      </c>
      <c r="K247" s="22">
        <v>0</v>
      </c>
      <c r="L247" s="22">
        <v>0</v>
      </c>
      <c r="M247" s="22">
        <v>0</v>
      </c>
      <c r="N247" s="197"/>
    </row>
    <row r="248" spans="1:14" ht="21.75" customHeight="1" x14ac:dyDescent="0.25">
      <c r="A248" s="110"/>
      <c r="B248" s="113"/>
      <c r="C248" s="116"/>
      <c r="D248" s="119"/>
      <c r="E248" s="116"/>
      <c r="F248" s="12" t="s">
        <v>16</v>
      </c>
      <c r="G248" s="22">
        <f>H248+I248+J248+K248+M248</f>
        <v>18041281.43</v>
      </c>
      <c r="H248" s="22">
        <v>0</v>
      </c>
      <c r="I248" s="22">
        <f>4922960.71-1600000</f>
        <v>3322960.71</v>
      </c>
      <c r="J248" s="48">
        <v>4369412.5599999996</v>
      </c>
      <c r="K248" s="22">
        <v>4971604.92</v>
      </c>
      <c r="L248" s="22">
        <v>5170475.4000000004</v>
      </c>
      <c r="M248" s="22">
        <v>5377303.2400000002</v>
      </c>
      <c r="N248" s="197"/>
    </row>
    <row r="249" spans="1:14" ht="21.75" customHeight="1" x14ac:dyDescent="0.25">
      <c r="A249" s="111"/>
      <c r="B249" s="114"/>
      <c r="C249" s="116"/>
      <c r="D249" s="120"/>
      <c r="E249" s="117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197"/>
    </row>
    <row r="250" spans="1:14" ht="21.75" customHeight="1" x14ac:dyDescent="0.25">
      <c r="A250" s="153"/>
      <c r="B250" s="186" t="s">
        <v>142</v>
      </c>
      <c r="C250" s="159" t="s">
        <v>11</v>
      </c>
      <c r="D250" s="216" t="s">
        <v>42</v>
      </c>
      <c r="E250" s="159" t="s">
        <v>153</v>
      </c>
      <c r="F250" s="34" t="s">
        <v>14</v>
      </c>
      <c r="G250" s="35">
        <f t="shared" ref="G250:M250" si="73">G251+G252+G253</f>
        <v>4640995.75</v>
      </c>
      <c r="H250" s="35">
        <f t="shared" si="73"/>
        <v>600000</v>
      </c>
      <c r="I250" s="35">
        <f t="shared" si="73"/>
        <v>557000</v>
      </c>
      <c r="J250" s="35">
        <f t="shared" si="73"/>
        <v>550591.55000000005</v>
      </c>
      <c r="K250" s="35">
        <f t="shared" si="73"/>
        <v>1466702.1</v>
      </c>
      <c r="L250" s="35">
        <f>L251+L252+L253</f>
        <v>1466702.1</v>
      </c>
      <c r="M250" s="35">
        <f t="shared" si="73"/>
        <v>1466702.1</v>
      </c>
      <c r="N250" s="189"/>
    </row>
    <row r="251" spans="1:14" ht="21.75" customHeight="1" x14ac:dyDescent="0.25">
      <c r="A251" s="154"/>
      <c r="B251" s="187"/>
      <c r="C251" s="160"/>
      <c r="D251" s="217"/>
      <c r="E251" s="160"/>
      <c r="F251" s="34" t="s">
        <v>133</v>
      </c>
      <c r="G251" s="35">
        <f>H251+I251+J251+K251+M251</f>
        <v>4640995.75</v>
      </c>
      <c r="H251" s="35">
        <f t="shared" ref="H251:M253" si="74">H255+H263+H279+H283+H259+H267+H271+H275</f>
        <v>600000</v>
      </c>
      <c r="I251" s="35">
        <f t="shared" si="74"/>
        <v>557000</v>
      </c>
      <c r="J251" s="35">
        <f t="shared" si="74"/>
        <v>550591.55000000005</v>
      </c>
      <c r="K251" s="35">
        <f t="shared" si="74"/>
        <v>1466702.1</v>
      </c>
      <c r="L251" s="35">
        <f t="shared" si="74"/>
        <v>1466702.1</v>
      </c>
      <c r="M251" s="35">
        <f t="shared" si="74"/>
        <v>1466702.1</v>
      </c>
      <c r="N251" s="190"/>
    </row>
    <row r="252" spans="1:14" ht="21.75" customHeight="1" x14ac:dyDescent="0.25">
      <c r="A252" s="154"/>
      <c r="B252" s="187"/>
      <c r="C252" s="160"/>
      <c r="D252" s="217"/>
      <c r="E252" s="160"/>
      <c r="F252" s="34" t="s">
        <v>16</v>
      </c>
      <c r="G252" s="35">
        <f>H252+I252+J252+K252+M252</f>
        <v>0</v>
      </c>
      <c r="H252" s="35">
        <f t="shared" si="74"/>
        <v>0</v>
      </c>
      <c r="I252" s="35">
        <f t="shared" si="74"/>
        <v>0</v>
      </c>
      <c r="J252" s="35">
        <f t="shared" si="74"/>
        <v>0</v>
      </c>
      <c r="K252" s="35">
        <f t="shared" si="74"/>
        <v>0</v>
      </c>
      <c r="L252" s="35">
        <f t="shared" si="74"/>
        <v>0</v>
      </c>
      <c r="M252" s="35">
        <f t="shared" si="74"/>
        <v>0</v>
      </c>
      <c r="N252" s="190"/>
    </row>
    <row r="253" spans="1:14" ht="21.75" customHeight="1" x14ac:dyDescent="0.25">
      <c r="A253" s="155"/>
      <c r="B253" s="188"/>
      <c r="C253" s="161"/>
      <c r="D253" s="218"/>
      <c r="E253" s="161"/>
      <c r="F253" s="34" t="s">
        <v>17</v>
      </c>
      <c r="G253" s="35">
        <f>H253+I253+J253+K253+M253</f>
        <v>0</v>
      </c>
      <c r="H253" s="35">
        <f t="shared" si="74"/>
        <v>0</v>
      </c>
      <c r="I253" s="35">
        <f t="shared" si="74"/>
        <v>0</v>
      </c>
      <c r="J253" s="35">
        <f t="shared" si="74"/>
        <v>0</v>
      </c>
      <c r="K253" s="35">
        <f t="shared" si="74"/>
        <v>0</v>
      </c>
      <c r="L253" s="35">
        <f t="shared" si="74"/>
        <v>0</v>
      </c>
      <c r="M253" s="35">
        <f t="shared" si="74"/>
        <v>0</v>
      </c>
      <c r="N253" s="191"/>
    </row>
    <row r="254" spans="1:14" ht="21.75" customHeight="1" x14ac:dyDescent="0.25">
      <c r="A254" s="109" t="s">
        <v>18</v>
      </c>
      <c r="B254" s="112" t="s">
        <v>104</v>
      </c>
      <c r="C254" s="115" t="s">
        <v>11</v>
      </c>
      <c r="D254" s="118" t="s">
        <v>42</v>
      </c>
      <c r="E254" s="115" t="s">
        <v>153</v>
      </c>
      <c r="F254" s="12" t="s">
        <v>14</v>
      </c>
      <c r="G254" s="22">
        <f t="shared" ref="G254:M254" si="75">G255+G256+G257</f>
        <v>952762.74</v>
      </c>
      <c r="H254" s="22">
        <f t="shared" si="75"/>
        <v>235000</v>
      </c>
      <c r="I254" s="22">
        <f t="shared" si="75"/>
        <v>197749.8</v>
      </c>
      <c r="J254" s="22">
        <f t="shared" si="75"/>
        <v>196012.94</v>
      </c>
      <c r="K254" s="22">
        <f t="shared" si="75"/>
        <v>162000</v>
      </c>
      <c r="L254" s="22">
        <f>L255+L256+L257</f>
        <v>162000</v>
      </c>
      <c r="M254" s="22">
        <f t="shared" si="75"/>
        <v>162000</v>
      </c>
      <c r="N254" s="200" t="s">
        <v>151</v>
      </c>
    </row>
    <row r="255" spans="1:14" ht="21.75" customHeight="1" x14ac:dyDescent="0.25">
      <c r="A255" s="110"/>
      <c r="B255" s="113"/>
      <c r="C255" s="116"/>
      <c r="D255" s="119"/>
      <c r="E255" s="116"/>
      <c r="F255" s="12" t="s">
        <v>133</v>
      </c>
      <c r="G255" s="22">
        <f>H255+I255+J255+K255+M255</f>
        <v>952762.74</v>
      </c>
      <c r="H255" s="22">
        <v>235000</v>
      </c>
      <c r="I255" s="22">
        <f>252000-I263-4250.2</f>
        <v>197749.8</v>
      </c>
      <c r="J255" s="22">
        <f>202000+[10]ИЦ!$F$19</f>
        <v>196012.94</v>
      </c>
      <c r="K255" s="22">
        <v>162000</v>
      </c>
      <c r="L255" s="22">
        <v>162000</v>
      </c>
      <c r="M255" s="22">
        <v>162000</v>
      </c>
      <c r="N255" s="200"/>
    </row>
    <row r="256" spans="1:14" ht="21.75" customHeight="1" x14ac:dyDescent="0.25">
      <c r="A256" s="110"/>
      <c r="B256" s="113"/>
      <c r="C256" s="116"/>
      <c r="D256" s="119"/>
      <c r="E256" s="116"/>
      <c r="F256" s="12" t="s">
        <v>16</v>
      </c>
      <c r="G256" s="22">
        <f>H256+I256+J256+K256+M256</f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00"/>
    </row>
    <row r="257" spans="1:14" ht="21.75" customHeight="1" x14ac:dyDescent="0.25">
      <c r="A257" s="111"/>
      <c r="B257" s="114"/>
      <c r="C257" s="116"/>
      <c r="D257" s="120"/>
      <c r="E257" s="117"/>
      <c r="F257" s="12" t="s">
        <v>17</v>
      </c>
      <c r="G257" s="22">
        <f>H257+I257+J257+K257+M257</f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00"/>
    </row>
    <row r="258" spans="1:14" ht="21.75" customHeight="1" x14ac:dyDescent="0.25">
      <c r="A258" s="115" t="s">
        <v>25</v>
      </c>
      <c r="B258" s="112" t="s">
        <v>105</v>
      </c>
      <c r="C258" s="115" t="s">
        <v>11</v>
      </c>
      <c r="D258" s="118" t="s">
        <v>42</v>
      </c>
      <c r="E258" s="115" t="s">
        <v>153</v>
      </c>
      <c r="F258" s="12" t="s">
        <v>14</v>
      </c>
      <c r="G258" s="22">
        <f t="shared" ref="G258:M258" si="76">G259+G260+G261</f>
        <v>538828.81000000006</v>
      </c>
      <c r="H258" s="22">
        <f t="shared" si="76"/>
        <v>125000</v>
      </c>
      <c r="I258" s="22">
        <f t="shared" si="76"/>
        <v>109250.2</v>
      </c>
      <c r="J258" s="22">
        <f t="shared" si="76"/>
        <v>104578.61</v>
      </c>
      <c r="K258" s="22">
        <f t="shared" si="76"/>
        <v>100000</v>
      </c>
      <c r="L258" s="22">
        <f>L259+L260+L261</f>
        <v>100000</v>
      </c>
      <c r="M258" s="22">
        <f t="shared" si="76"/>
        <v>100000</v>
      </c>
      <c r="N258" s="200"/>
    </row>
    <row r="259" spans="1:14" ht="21.75" customHeight="1" x14ac:dyDescent="0.25">
      <c r="A259" s="116"/>
      <c r="B259" s="113"/>
      <c r="C259" s="116"/>
      <c r="D259" s="119"/>
      <c r="E259" s="116"/>
      <c r="F259" s="12" t="s">
        <v>133</v>
      </c>
      <c r="G259" s="22">
        <f>H259+I259+J259+K259+M259</f>
        <v>538828.81000000006</v>
      </c>
      <c r="H259" s="22">
        <v>125000</v>
      </c>
      <c r="I259" s="22">
        <f>105000+4250.2</f>
        <v>109250.2</v>
      </c>
      <c r="J259" s="22">
        <f>105000-421.39</f>
        <v>104578.61</v>
      </c>
      <c r="K259" s="22">
        <v>100000</v>
      </c>
      <c r="L259" s="22">
        <v>100000</v>
      </c>
      <c r="M259" s="22">
        <v>100000</v>
      </c>
      <c r="N259" s="200"/>
    </row>
    <row r="260" spans="1:14" ht="21.75" customHeight="1" x14ac:dyDescent="0.25">
      <c r="A260" s="116"/>
      <c r="B260" s="113"/>
      <c r="C260" s="116"/>
      <c r="D260" s="119"/>
      <c r="E260" s="116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00"/>
    </row>
    <row r="261" spans="1:14" ht="21.75" customHeight="1" x14ac:dyDescent="0.25">
      <c r="A261" s="117"/>
      <c r="B261" s="114"/>
      <c r="C261" s="116"/>
      <c r="D261" s="120"/>
      <c r="E261" s="117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00"/>
    </row>
    <row r="262" spans="1:14" ht="21.75" customHeight="1" x14ac:dyDescent="0.25">
      <c r="A262" s="109" t="s">
        <v>44</v>
      </c>
      <c r="B262" s="112" t="s">
        <v>107</v>
      </c>
      <c r="C262" s="115" t="s">
        <v>11</v>
      </c>
      <c r="D262" s="118" t="s">
        <v>42</v>
      </c>
      <c r="E262" s="115" t="s">
        <v>153</v>
      </c>
      <c r="F262" s="12" t="s">
        <v>14</v>
      </c>
      <c r="G262" s="22">
        <f t="shared" ref="G262:M262" si="77">G263+G264+G265</f>
        <v>260000</v>
      </c>
      <c r="H262" s="22">
        <f t="shared" si="77"/>
        <v>40000</v>
      </c>
      <c r="I262" s="22">
        <f t="shared" si="77"/>
        <v>50000</v>
      </c>
      <c r="J262" s="22">
        <f t="shared" si="77"/>
        <v>50000</v>
      </c>
      <c r="K262" s="22">
        <f t="shared" si="77"/>
        <v>60000</v>
      </c>
      <c r="L262" s="22">
        <f>L263+L264+L265</f>
        <v>60000</v>
      </c>
      <c r="M262" s="22">
        <f t="shared" si="77"/>
        <v>60000</v>
      </c>
      <c r="N262" s="200"/>
    </row>
    <row r="263" spans="1:14" ht="21.75" customHeight="1" x14ac:dyDescent="0.25">
      <c r="A263" s="110"/>
      <c r="B263" s="113"/>
      <c r="C263" s="116"/>
      <c r="D263" s="119"/>
      <c r="E263" s="116"/>
      <c r="F263" s="12" t="s">
        <v>133</v>
      </c>
      <c r="G263" s="22">
        <f>H263+I263+J263+K263+M263</f>
        <v>260000</v>
      </c>
      <c r="H263" s="22">
        <v>40000</v>
      </c>
      <c r="I263" s="22">
        <v>50000</v>
      </c>
      <c r="J263" s="22">
        <v>50000</v>
      </c>
      <c r="K263" s="22">
        <v>60000</v>
      </c>
      <c r="L263" s="22">
        <v>60000</v>
      </c>
      <c r="M263" s="22">
        <v>60000</v>
      </c>
      <c r="N263" s="200"/>
    </row>
    <row r="264" spans="1:14" ht="21.75" customHeight="1" x14ac:dyDescent="0.25">
      <c r="A264" s="110"/>
      <c r="B264" s="113"/>
      <c r="C264" s="116"/>
      <c r="D264" s="119"/>
      <c r="E264" s="116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00"/>
    </row>
    <row r="265" spans="1:14" ht="21.75" customHeight="1" x14ac:dyDescent="0.25">
      <c r="A265" s="111"/>
      <c r="B265" s="114"/>
      <c r="C265" s="116"/>
      <c r="D265" s="120"/>
      <c r="E265" s="117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00"/>
    </row>
    <row r="266" spans="1:14" ht="21.75" customHeight="1" x14ac:dyDescent="0.25">
      <c r="A266" s="115" t="s">
        <v>78</v>
      </c>
      <c r="B266" s="112" t="s">
        <v>132</v>
      </c>
      <c r="C266" s="115" t="s">
        <v>11</v>
      </c>
      <c r="D266" s="127" t="s">
        <v>37</v>
      </c>
      <c r="E266" s="115" t="s">
        <v>153</v>
      </c>
      <c r="F266" s="12" t="s">
        <v>14</v>
      </c>
      <c r="G266" s="22">
        <f t="shared" ref="G266:M266" si="78">G267+G268+G269</f>
        <v>2000000</v>
      </c>
      <c r="H266" s="22">
        <f t="shared" si="78"/>
        <v>200000</v>
      </c>
      <c r="I266" s="22">
        <f t="shared" si="78"/>
        <v>200000</v>
      </c>
      <c r="J266" s="22">
        <f t="shared" si="78"/>
        <v>200000</v>
      </c>
      <c r="K266" s="22">
        <f t="shared" si="78"/>
        <v>700000</v>
      </c>
      <c r="L266" s="22">
        <f t="shared" si="78"/>
        <v>700000</v>
      </c>
      <c r="M266" s="22">
        <f t="shared" si="78"/>
        <v>700000</v>
      </c>
      <c r="N266" s="200"/>
    </row>
    <row r="267" spans="1:14" ht="21.75" customHeight="1" x14ac:dyDescent="0.25">
      <c r="A267" s="116"/>
      <c r="B267" s="113"/>
      <c r="C267" s="116"/>
      <c r="D267" s="128"/>
      <c r="E267" s="116"/>
      <c r="F267" s="12" t="s">
        <v>133</v>
      </c>
      <c r="G267" s="22">
        <f>H267+I267+J267+K267+M267</f>
        <v>2000000</v>
      </c>
      <c r="H267" s="22">
        <v>200000</v>
      </c>
      <c r="I267" s="22">
        <v>200000</v>
      </c>
      <c r="J267" s="22">
        <v>200000</v>
      </c>
      <c r="K267" s="22">
        <v>700000</v>
      </c>
      <c r="L267" s="22">
        <v>700000</v>
      </c>
      <c r="M267" s="22">
        <v>700000</v>
      </c>
      <c r="N267" s="200"/>
    </row>
    <row r="268" spans="1:14" ht="21.75" customHeight="1" x14ac:dyDescent="0.25">
      <c r="A268" s="116"/>
      <c r="B268" s="113"/>
      <c r="C268" s="116"/>
      <c r="D268" s="128"/>
      <c r="E268" s="116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00"/>
    </row>
    <row r="269" spans="1:14" ht="21.75" customHeight="1" x14ac:dyDescent="0.25">
      <c r="A269" s="117"/>
      <c r="B269" s="114"/>
      <c r="C269" s="116"/>
      <c r="D269" s="129"/>
      <c r="E269" s="117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00"/>
    </row>
    <row r="270" spans="1:14" ht="21.75" customHeight="1" x14ac:dyDescent="0.25">
      <c r="A270" s="124" t="s">
        <v>94</v>
      </c>
      <c r="B270" s="112" t="s">
        <v>41</v>
      </c>
      <c r="C270" s="115" t="s">
        <v>11</v>
      </c>
      <c r="D270" s="118" t="s">
        <v>42</v>
      </c>
      <c r="E270" s="115" t="s">
        <v>153</v>
      </c>
      <c r="F270" s="12" t="s">
        <v>14</v>
      </c>
      <c r="G270" s="22">
        <f t="shared" ref="G270:M270" si="79">G271+G272+G273</f>
        <v>889404.2</v>
      </c>
      <c r="H270" s="22">
        <f t="shared" si="79"/>
        <v>0</v>
      </c>
      <c r="I270" s="22">
        <f t="shared" si="79"/>
        <v>0</v>
      </c>
      <c r="J270" s="22">
        <f t="shared" si="79"/>
        <v>0</v>
      </c>
      <c r="K270" s="22">
        <f t="shared" si="79"/>
        <v>444702.1</v>
      </c>
      <c r="L270" s="22">
        <f t="shared" si="79"/>
        <v>444702.1</v>
      </c>
      <c r="M270" s="22">
        <f t="shared" si="79"/>
        <v>444702.1</v>
      </c>
      <c r="N270" s="200"/>
    </row>
    <row r="271" spans="1:14" ht="21.75" customHeight="1" x14ac:dyDescent="0.25">
      <c r="A271" s="125"/>
      <c r="B271" s="113"/>
      <c r="C271" s="116"/>
      <c r="D271" s="119"/>
      <c r="E271" s="116"/>
      <c r="F271" s="12" t="s">
        <v>133</v>
      </c>
      <c r="G271" s="22">
        <f>H271+I271+J271+K271+M271</f>
        <v>889404.2</v>
      </c>
      <c r="H271" s="22"/>
      <c r="I271" s="22"/>
      <c r="J271" s="22">
        <v>0</v>
      </c>
      <c r="K271" s="22">
        <v>444702.1</v>
      </c>
      <c r="L271" s="22">
        <v>444702.1</v>
      </c>
      <c r="M271" s="22">
        <v>444702.1</v>
      </c>
      <c r="N271" s="200"/>
    </row>
    <row r="272" spans="1:14" ht="21.75" customHeight="1" x14ac:dyDescent="0.25">
      <c r="A272" s="125"/>
      <c r="B272" s="113"/>
      <c r="C272" s="116"/>
      <c r="D272" s="119"/>
      <c r="E272" s="116"/>
      <c r="F272" s="12" t="s">
        <v>16</v>
      </c>
      <c r="G272" s="22">
        <f>H272+I272+J272+K272+M272</f>
        <v>0</v>
      </c>
      <c r="H272" s="22"/>
      <c r="I272" s="22"/>
      <c r="J272" s="22">
        <v>0</v>
      </c>
      <c r="K272" s="22">
        <v>0</v>
      </c>
      <c r="L272" s="22">
        <v>0</v>
      </c>
      <c r="M272" s="22">
        <v>0</v>
      </c>
      <c r="N272" s="200"/>
    </row>
    <row r="273" spans="1:14" ht="21.75" customHeight="1" x14ac:dyDescent="0.25">
      <c r="A273" s="126"/>
      <c r="B273" s="114"/>
      <c r="C273" s="116"/>
      <c r="D273" s="120"/>
      <c r="E273" s="117"/>
      <c r="F273" s="12" t="s">
        <v>17</v>
      </c>
      <c r="G273" s="22">
        <f>H273+I273+J273+K273+M273</f>
        <v>0</v>
      </c>
      <c r="H273" s="22"/>
      <c r="I273" s="22"/>
      <c r="J273" s="22">
        <v>0</v>
      </c>
      <c r="K273" s="22">
        <v>0</v>
      </c>
      <c r="L273" s="22">
        <v>0</v>
      </c>
      <c r="M273" s="22">
        <v>0</v>
      </c>
      <c r="N273" s="200"/>
    </row>
    <row r="274" spans="1:14" ht="21.75" hidden="1" customHeight="1" outlineLevel="1" x14ac:dyDescent="0.25">
      <c r="A274" s="109" t="s">
        <v>106</v>
      </c>
      <c r="B274" s="112" t="s">
        <v>103</v>
      </c>
      <c r="C274" s="115" t="s">
        <v>11</v>
      </c>
      <c r="D274" s="115"/>
      <c r="E274" s="115" t="s">
        <v>153</v>
      </c>
      <c r="F274" s="12" t="s">
        <v>14</v>
      </c>
      <c r="G274" s="22">
        <f t="shared" ref="G274:M274" si="80">G275+G276+G277</f>
        <v>0</v>
      </c>
      <c r="H274" s="22">
        <f t="shared" si="80"/>
        <v>0</v>
      </c>
      <c r="I274" s="22">
        <f t="shared" si="80"/>
        <v>0</v>
      </c>
      <c r="J274" s="22">
        <f t="shared" si="80"/>
        <v>0</v>
      </c>
      <c r="K274" s="22">
        <f t="shared" si="80"/>
        <v>0</v>
      </c>
      <c r="L274" s="22">
        <f>L275+L276+L277</f>
        <v>0</v>
      </c>
      <c r="M274" s="22">
        <f t="shared" si="80"/>
        <v>0</v>
      </c>
      <c r="N274" s="200"/>
    </row>
    <row r="275" spans="1:14" ht="21.75" hidden="1" customHeight="1" outlineLevel="1" x14ac:dyDescent="0.25">
      <c r="A275" s="110"/>
      <c r="B275" s="113"/>
      <c r="C275" s="116"/>
      <c r="D275" s="116"/>
      <c r="E275" s="116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00"/>
    </row>
    <row r="276" spans="1:14" ht="21.75" hidden="1" customHeight="1" outlineLevel="1" x14ac:dyDescent="0.25">
      <c r="A276" s="110"/>
      <c r="B276" s="113"/>
      <c r="C276" s="116"/>
      <c r="D276" s="116"/>
      <c r="E276" s="116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00"/>
    </row>
    <row r="277" spans="1:14" ht="21.75" hidden="1" customHeight="1" outlineLevel="1" x14ac:dyDescent="0.25">
      <c r="A277" s="111"/>
      <c r="B277" s="114"/>
      <c r="C277" s="116"/>
      <c r="D277" s="117"/>
      <c r="E277" s="117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00"/>
    </row>
    <row r="278" spans="1:14" ht="21.75" hidden="1" customHeight="1" outlineLevel="1" x14ac:dyDescent="0.25">
      <c r="A278" s="109" t="s">
        <v>108</v>
      </c>
      <c r="B278" s="112" t="s">
        <v>109</v>
      </c>
      <c r="C278" s="115" t="s">
        <v>11</v>
      </c>
      <c r="D278" s="115"/>
      <c r="E278" s="115" t="s">
        <v>153</v>
      </c>
      <c r="F278" s="12" t="s">
        <v>14</v>
      </c>
      <c r="G278" s="22">
        <f t="shared" ref="G278:M278" si="81">G279+G280+G281</f>
        <v>0</v>
      </c>
      <c r="H278" s="22">
        <f t="shared" si="81"/>
        <v>0</v>
      </c>
      <c r="I278" s="22">
        <f t="shared" si="81"/>
        <v>0</v>
      </c>
      <c r="J278" s="22">
        <f t="shared" si="81"/>
        <v>0</v>
      </c>
      <c r="K278" s="22">
        <f t="shared" si="81"/>
        <v>0</v>
      </c>
      <c r="L278" s="22">
        <f>L279+L280+L281</f>
        <v>0</v>
      </c>
      <c r="M278" s="22">
        <f t="shared" si="81"/>
        <v>0</v>
      </c>
      <c r="N278" s="200"/>
    </row>
    <row r="279" spans="1:14" ht="21.75" hidden="1" customHeight="1" outlineLevel="1" x14ac:dyDescent="0.25">
      <c r="A279" s="110"/>
      <c r="B279" s="113"/>
      <c r="C279" s="116"/>
      <c r="D279" s="116"/>
      <c r="E279" s="116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00"/>
    </row>
    <row r="280" spans="1:14" ht="21.75" hidden="1" customHeight="1" outlineLevel="1" x14ac:dyDescent="0.25">
      <c r="A280" s="110"/>
      <c r="B280" s="113"/>
      <c r="C280" s="116"/>
      <c r="D280" s="116"/>
      <c r="E280" s="116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00"/>
    </row>
    <row r="281" spans="1:14" ht="21.75" hidden="1" customHeight="1" outlineLevel="1" x14ac:dyDescent="0.25">
      <c r="A281" s="111"/>
      <c r="B281" s="114"/>
      <c r="C281" s="116"/>
      <c r="D281" s="117"/>
      <c r="E281" s="117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00"/>
    </row>
    <row r="282" spans="1:14" ht="21.75" hidden="1" customHeight="1" outlineLevel="1" x14ac:dyDescent="0.25">
      <c r="A282" s="54"/>
      <c r="B282" s="112" t="s">
        <v>110</v>
      </c>
      <c r="C282" s="115" t="s">
        <v>11</v>
      </c>
      <c r="D282" s="115"/>
      <c r="E282" s="115" t="s">
        <v>153</v>
      </c>
      <c r="F282" s="12" t="s">
        <v>14</v>
      </c>
      <c r="G282" s="22">
        <f t="shared" ref="G282:M282" si="82">G283+G284+G285</f>
        <v>0</v>
      </c>
      <c r="H282" s="22">
        <f t="shared" si="82"/>
        <v>0</v>
      </c>
      <c r="I282" s="22">
        <f t="shared" si="82"/>
        <v>0</v>
      </c>
      <c r="J282" s="22">
        <f t="shared" si="82"/>
        <v>0</v>
      </c>
      <c r="K282" s="22">
        <f t="shared" si="82"/>
        <v>0</v>
      </c>
      <c r="L282" s="22">
        <f>L283+L284+L285</f>
        <v>0</v>
      </c>
      <c r="M282" s="22">
        <f t="shared" si="82"/>
        <v>0</v>
      </c>
      <c r="N282" s="200"/>
    </row>
    <row r="283" spans="1:14" ht="21.75" hidden="1" customHeight="1" outlineLevel="1" x14ac:dyDescent="0.25">
      <c r="A283" s="54" t="s">
        <v>111</v>
      </c>
      <c r="B283" s="113"/>
      <c r="C283" s="116"/>
      <c r="D283" s="116"/>
      <c r="E283" s="116"/>
      <c r="F283" s="12" t="s">
        <v>15</v>
      </c>
      <c r="G283" s="23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00"/>
    </row>
    <row r="284" spans="1:14" ht="21.75" hidden="1" customHeight="1" outlineLevel="1" x14ac:dyDescent="0.25">
      <c r="A284" s="54"/>
      <c r="B284" s="113"/>
      <c r="C284" s="116"/>
      <c r="D284" s="116"/>
      <c r="E284" s="116"/>
      <c r="F284" s="12" t="s">
        <v>16</v>
      </c>
      <c r="G284" s="23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00"/>
    </row>
    <row r="285" spans="1:14" ht="21.75" hidden="1" customHeight="1" outlineLevel="1" x14ac:dyDescent="0.25">
      <c r="A285" s="54"/>
      <c r="B285" s="114"/>
      <c r="C285" s="116"/>
      <c r="D285" s="117"/>
      <c r="E285" s="117"/>
      <c r="F285" s="12" t="s">
        <v>17</v>
      </c>
      <c r="G285" s="23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01"/>
    </row>
    <row r="286" spans="1:14" ht="21.75" customHeight="1" collapsed="1" x14ac:dyDescent="0.25">
      <c r="A286" s="153">
        <v>5</v>
      </c>
      <c r="B286" s="186" t="s">
        <v>139</v>
      </c>
      <c r="C286" s="159" t="s">
        <v>11</v>
      </c>
      <c r="D286" s="40"/>
      <c r="E286" s="159" t="s">
        <v>153</v>
      </c>
      <c r="F286" s="34" t="s">
        <v>14</v>
      </c>
      <c r="G286" s="35">
        <f>G287+G288+G289</f>
        <v>81305857.289999992</v>
      </c>
      <c r="H286" s="35">
        <f t="shared" ref="H286:M286" si="83">H287+H288+H289</f>
        <v>13370422.130000001</v>
      </c>
      <c r="I286" s="35">
        <f t="shared" si="83"/>
        <v>13699325.029999999</v>
      </c>
      <c r="J286" s="35">
        <f t="shared" si="83"/>
        <v>14738271</v>
      </c>
      <c r="K286" s="35">
        <f t="shared" si="83"/>
        <v>19001218.359999999</v>
      </c>
      <c r="L286" s="35">
        <f>L287+L288+L289</f>
        <v>19734258.760000002</v>
      </c>
      <c r="M286" s="35">
        <f t="shared" si="83"/>
        <v>20496620.77</v>
      </c>
      <c r="N286" s="55"/>
    </row>
    <row r="287" spans="1:14" ht="21.75" customHeight="1" x14ac:dyDescent="0.25">
      <c r="A287" s="154"/>
      <c r="B287" s="187"/>
      <c r="C287" s="160"/>
      <c r="D287" s="41"/>
      <c r="E287" s="160"/>
      <c r="F287" s="34" t="s">
        <v>133</v>
      </c>
      <c r="G287" s="35">
        <f>H287+I287+J287+K287+M287</f>
        <v>81305857.289999992</v>
      </c>
      <c r="H287" s="35">
        <f t="shared" ref="H287:M289" si="84">H291</f>
        <v>13370422.130000001</v>
      </c>
      <c r="I287" s="35">
        <f t="shared" si="84"/>
        <v>13699325.029999999</v>
      </c>
      <c r="J287" s="35">
        <f t="shared" si="84"/>
        <v>14738271</v>
      </c>
      <c r="K287" s="35">
        <f t="shared" si="84"/>
        <v>19001218.359999999</v>
      </c>
      <c r="L287" s="35">
        <f t="shared" si="84"/>
        <v>19734258.760000002</v>
      </c>
      <c r="M287" s="35">
        <f t="shared" si="84"/>
        <v>20496620.77</v>
      </c>
      <c r="N287" s="55"/>
    </row>
    <row r="288" spans="1:14" ht="21.75" customHeight="1" x14ac:dyDescent="0.25">
      <c r="A288" s="154"/>
      <c r="B288" s="187"/>
      <c r="C288" s="160"/>
      <c r="D288" s="41"/>
      <c r="E288" s="160"/>
      <c r="F288" s="34" t="s">
        <v>16</v>
      </c>
      <c r="G288" s="35">
        <f>H288+I288+J288+K288+M288</f>
        <v>0</v>
      </c>
      <c r="H288" s="35">
        <f t="shared" si="84"/>
        <v>0</v>
      </c>
      <c r="I288" s="35">
        <f t="shared" si="84"/>
        <v>0</v>
      </c>
      <c r="J288" s="35">
        <f t="shared" si="84"/>
        <v>0</v>
      </c>
      <c r="K288" s="35">
        <f t="shared" si="84"/>
        <v>0</v>
      </c>
      <c r="L288" s="35">
        <f>L292</f>
        <v>0</v>
      </c>
      <c r="M288" s="35">
        <f t="shared" si="84"/>
        <v>0</v>
      </c>
      <c r="N288" s="55"/>
    </row>
    <row r="289" spans="1:14" ht="21.75" customHeight="1" x14ac:dyDescent="0.25">
      <c r="A289" s="155"/>
      <c r="B289" s="188"/>
      <c r="C289" s="161"/>
      <c r="D289" s="42"/>
      <c r="E289" s="161"/>
      <c r="F289" s="34" t="s">
        <v>17</v>
      </c>
      <c r="G289" s="35">
        <f>H289+I289+J289+K289+M289</f>
        <v>0</v>
      </c>
      <c r="H289" s="35">
        <f t="shared" si="84"/>
        <v>0</v>
      </c>
      <c r="I289" s="35">
        <f t="shared" si="84"/>
        <v>0</v>
      </c>
      <c r="J289" s="35">
        <f t="shared" si="84"/>
        <v>0</v>
      </c>
      <c r="K289" s="35">
        <f t="shared" si="84"/>
        <v>0</v>
      </c>
      <c r="L289" s="35">
        <f>L293</f>
        <v>0</v>
      </c>
      <c r="M289" s="35">
        <f t="shared" si="84"/>
        <v>0</v>
      </c>
      <c r="N289" s="55"/>
    </row>
    <row r="290" spans="1:14" ht="21.75" customHeight="1" x14ac:dyDescent="0.25">
      <c r="A290" s="109" t="s">
        <v>18</v>
      </c>
      <c r="B290" s="112" t="s">
        <v>140</v>
      </c>
      <c r="C290" s="115" t="s">
        <v>11</v>
      </c>
      <c r="D290" s="115" t="s">
        <v>113</v>
      </c>
      <c r="E290" s="115" t="s">
        <v>153</v>
      </c>
      <c r="F290" s="12" t="s">
        <v>14</v>
      </c>
      <c r="G290" s="22">
        <f t="shared" ref="G290:M290" si="85">G291+G292+G293</f>
        <v>81305857.289999992</v>
      </c>
      <c r="H290" s="22">
        <f t="shared" si="85"/>
        <v>13370422.130000001</v>
      </c>
      <c r="I290" s="22">
        <f t="shared" si="85"/>
        <v>13699325.029999999</v>
      </c>
      <c r="J290" s="22">
        <f t="shared" si="85"/>
        <v>14738271</v>
      </c>
      <c r="K290" s="22">
        <f t="shared" si="85"/>
        <v>19001218.359999999</v>
      </c>
      <c r="L290" s="22">
        <f>L291+L292+L293</f>
        <v>19734258.760000002</v>
      </c>
      <c r="M290" s="22">
        <f t="shared" si="85"/>
        <v>20496620.77</v>
      </c>
      <c r="N290" s="146" t="s">
        <v>114</v>
      </c>
    </row>
    <row r="291" spans="1:14" ht="21.75" customHeight="1" x14ac:dyDescent="0.25">
      <c r="A291" s="110"/>
      <c r="B291" s="113"/>
      <c r="C291" s="116"/>
      <c r="D291" s="116"/>
      <c r="E291" s="116"/>
      <c r="F291" s="12" t="s">
        <v>133</v>
      </c>
      <c r="G291" s="22">
        <f>H291+I291+J291+K291+M291</f>
        <v>81305857.289999992</v>
      </c>
      <c r="H291" s="22">
        <f>13390422.13-20000</f>
        <v>13370422.130000001</v>
      </c>
      <c r="I291" s="22">
        <v>13699325.029999999</v>
      </c>
      <c r="J291" s="48">
        <f>14153616+449044+135611</f>
        <v>14738271</v>
      </c>
      <c r="K291" s="22">
        <v>19001218.359999999</v>
      </c>
      <c r="L291" s="22">
        <v>19734258.760000002</v>
      </c>
      <c r="M291" s="22">
        <v>20496620.77</v>
      </c>
      <c r="N291" s="147"/>
    </row>
    <row r="292" spans="1:14" ht="21.75" customHeight="1" x14ac:dyDescent="0.25">
      <c r="A292" s="110"/>
      <c r="B292" s="113"/>
      <c r="C292" s="116"/>
      <c r="D292" s="116"/>
      <c r="E292" s="116"/>
      <c r="F292" s="12" t="s">
        <v>16</v>
      </c>
      <c r="G292" s="22">
        <f>H292+I292+J292+K292+M292</f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147"/>
    </row>
    <row r="293" spans="1:14" ht="21.75" customHeight="1" x14ac:dyDescent="0.25">
      <c r="A293" s="111"/>
      <c r="B293" s="114"/>
      <c r="C293" s="117"/>
      <c r="D293" s="117"/>
      <c r="E293" s="117"/>
      <c r="F293" s="12" t="s">
        <v>17</v>
      </c>
      <c r="G293" s="22">
        <f>H293+I293+J293+K293+M293</f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147"/>
    </row>
    <row r="294" spans="1:14" ht="23.25" hidden="1" customHeight="1" outlineLevel="1" x14ac:dyDescent="0.25">
      <c r="A294" s="153">
        <v>6</v>
      </c>
      <c r="B294" s="186" t="s">
        <v>123</v>
      </c>
      <c r="C294" s="159" t="s">
        <v>11</v>
      </c>
      <c r="D294" s="40"/>
      <c r="E294" s="159" t="s">
        <v>13</v>
      </c>
      <c r="F294" s="34" t="s">
        <v>14</v>
      </c>
      <c r="G294" s="35">
        <f t="shared" ref="G294:M294" si="86">G295+G296+G297</f>
        <v>0</v>
      </c>
      <c r="H294" s="35">
        <f t="shared" si="86"/>
        <v>0</v>
      </c>
      <c r="I294" s="35">
        <f t="shared" si="86"/>
        <v>0</v>
      </c>
      <c r="J294" s="35">
        <f t="shared" si="86"/>
        <v>0</v>
      </c>
      <c r="K294" s="35">
        <f t="shared" si="86"/>
        <v>0</v>
      </c>
      <c r="L294" s="35">
        <f>L295+L296+L297</f>
        <v>0</v>
      </c>
      <c r="M294" s="35">
        <f t="shared" si="86"/>
        <v>0</v>
      </c>
      <c r="N294" s="55"/>
    </row>
    <row r="295" spans="1:14" ht="23.25" hidden="1" customHeight="1" outlineLevel="1" x14ac:dyDescent="0.25">
      <c r="A295" s="154"/>
      <c r="B295" s="198"/>
      <c r="C295" s="160"/>
      <c r="D295" s="41"/>
      <c r="E295" s="160"/>
      <c r="F295" s="34" t="s">
        <v>15</v>
      </c>
      <c r="G295" s="35">
        <f>H295+I295+J295+K295+M295</f>
        <v>0</v>
      </c>
      <c r="H295" s="35">
        <f t="shared" ref="H295:M297" si="87">H299</f>
        <v>0</v>
      </c>
      <c r="I295" s="35">
        <f t="shared" si="87"/>
        <v>0</v>
      </c>
      <c r="J295" s="35">
        <f t="shared" si="87"/>
        <v>0</v>
      </c>
      <c r="K295" s="35">
        <f t="shared" si="87"/>
        <v>0</v>
      </c>
      <c r="L295" s="35">
        <f>L299</f>
        <v>0</v>
      </c>
      <c r="M295" s="35">
        <f t="shared" si="87"/>
        <v>0</v>
      </c>
      <c r="N295" s="55"/>
    </row>
    <row r="296" spans="1:14" ht="23.25" hidden="1" customHeight="1" outlineLevel="1" x14ac:dyDescent="0.25">
      <c r="A296" s="154"/>
      <c r="B296" s="198"/>
      <c r="C296" s="160"/>
      <c r="D296" s="41"/>
      <c r="E296" s="160"/>
      <c r="F296" s="34" t="s">
        <v>16</v>
      </c>
      <c r="G296" s="35">
        <f>H296+I296+J296+K296+M296</f>
        <v>0</v>
      </c>
      <c r="H296" s="35">
        <f t="shared" si="87"/>
        <v>0</v>
      </c>
      <c r="I296" s="35">
        <f t="shared" si="87"/>
        <v>0</v>
      </c>
      <c r="J296" s="35">
        <f t="shared" si="87"/>
        <v>0</v>
      </c>
      <c r="K296" s="35">
        <f t="shared" si="87"/>
        <v>0</v>
      </c>
      <c r="L296" s="35">
        <f>L300</f>
        <v>0</v>
      </c>
      <c r="M296" s="35">
        <f t="shared" si="87"/>
        <v>0</v>
      </c>
      <c r="N296" s="55"/>
    </row>
    <row r="297" spans="1:14" ht="27" hidden="1" customHeight="1" outlineLevel="1" x14ac:dyDescent="0.25">
      <c r="A297" s="155"/>
      <c r="B297" s="199"/>
      <c r="C297" s="161"/>
      <c r="D297" s="42"/>
      <c r="E297" s="161"/>
      <c r="F297" s="34" t="s">
        <v>17</v>
      </c>
      <c r="G297" s="35">
        <f>H297+I297+J297+K297+M297</f>
        <v>0</v>
      </c>
      <c r="H297" s="35">
        <f t="shared" si="87"/>
        <v>0</v>
      </c>
      <c r="I297" s="35">
        <f t="shared" si="87"/>
        <v>0</v>
      </c>
      <c r="J297" s="35">
        <f t="shared" si="87"/>
        <v>0</v>
      </c>
      <c r="K297" s="35">
        <f t="shared" si="87"/>
        <v>0</v>
      </c>
      <c r="L297" s="35">
        <f>L301</f>
        <v>0</v>
      </c>
      <c r="M297" s="35">
        <f t="shared" si="87"/>
        <v>0</v>
      </c>
      <c r="N297" s="55"/>
    </row>
    <row r="298" spans="1:14" ht="21.75" hidden="1" customHeight="1" outlineLevel="1" x14ac:dyDescent="0.25">
      <c r="A298" s="109" t="s">
        <v>124</v>
      </c>
      <c r="B298" s="112" t="s">
        <v>125</v>
      </c>
      <c r="C298" s="115" t="s">
        <v>11</v>
      </c>
      <c r="D298" s="115" t="s">
        <v>113</v>
      </c>
      <c r="E298" s="115" t="s">
        <v>13</v>
      </c>
      <c r="F298" s="12" t="s">
        <v>14</v>
      </c>
      <c r="G298" s="22">
        <f t="shared" ref="G298:M298" si="88">G299+G300+G301</f>
        <v>0</v>
      </c>
      <c r="H298" s="22">
        <f t="shared" si="88"/>
        <v>0</v>
      </c>
      <c r="I298" s="22">
        <f t="shared" si="88"/>
        <v>0</v>
      </c>
      <c r="J298" s="22">
        <f t="shared" si="88"/>
        <v>0</v>
      </c>
      <c r="K298" s="22">
        <f t="shared" si="88"/>
        <v>0</v>
      </c>
      <c r="L298" s="22">
        <f>L299+L300+L301</f>
        <v>0</v>
      </c>
      <c r="M298" s="22">
        <f t="shared" si="88"/>
        <v>0</v>
      </c>
      <c r="N298" s="184" t="s">
        <v>126</v>
      </c>
    </row>
    <row r="299" spans="1:14" ht="21.75" hidden="1" customHeight="1" outlineLevel="1" x14ac:dyDescent="0.25">
      <c r="A299" s="110"/>
      <c r="B299" s="113"/>
      <c r="C299" s="116"/>
      <c r="D299" s="116"/>
      <c r="E299" s="116"/>
      <c r="F299" s="12" t="s">
        <v>15</v>
      </c>
      <c r="G299" s="22">
        <f>H299+I299+J299+K299+M299</f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185"/>
    </row>
    <row r="300" spans="1:14" ht="21.75" hidden="1" customHeight="1" outlineLevel="1" x14ac:dyDescent="0.25">
      <c r="A300" s="110"/>
      <c r="B300" s="113"/>
      <c r="C300" s="116"/>
      <c r="D300" s="116"/>
      <c r="E300" s="116"/>
      <c r="F300" s="12" t="s">
        <v>16</v>
      </c>
      <c r="G300" s="22">
        <f>H300+I300+J300+K300+M300</f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185"/>
    </row>
    <row r="301" spans="1:14" ht="21.75" hidden="1" customHeight="1" outlineLevel="1" x14ac:dyDescent="0.25">
      <c r="A301" s="111"/>
      <c r="B301" s="114"/>
      <c r="C301" s="117"/>
      <c r="D301" s="117"/>
      <c r="E301" s="117"/>
      <c r="F301" s="12" t="s">
        <v>17</v>
      </c>
      <c r="G301" s="22">
        <f>H301+I301+J301+K301+M301</f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185"/>
    </row>
    <row r="302" spans="1:14" ht="21.75" hidden="1" customHeight="1" outlineLevel="1" x14ac:dyDescent="0.25">
      <c r="A302" s="153">
        <v>7</v>
      </c>
      <c r="B302" s="186" t="s">
        <v>127</v>
      </c>
      <c r="C302" s="159" t="s">
        <v>11</v>
      </c>
      <c r="D302" s="40"/>
      <c r="E302" s="159" t="s">
        <v>13</v>
      </c>
      <c r="F302" s="34" t="s">
        <v>14</v>
      </c>
      <c r="G302" s="35">
        <f t="shared" ref="G302:M302" si="89">G303+G304+G305</f>
        <v>0</v>
      </c>
      <c r="H302" s="35">
        <f t="shared" si="89"/>
        <v>0</v>
      </c>
      <c r="I302" s="35">
        <f t="shared" si="89"/>
        <v>0</v>
      </c>
      <c r="J302" s="35">
        <f t="shared" si="89"/>
        <v>0</v>
      </c>
      <c r="K302" s="35">
        <f t="shared" si="89"/>
        <v>0</v>
      </c>
      <c r="L302" s="35">
        <f>L303+L304+L305</f>
        <v>0</v>
      </c>
      <c r="M302" s="35">
        <f t="shared" si="89"/>
        <v>0</v>
      </c>
      <c r="N302" s="55"/>
    </row>
    <row r="303" spans="1:14" ht="21.75" hidden="1" customHeight="1" outlineLevel="1" x14ac:dyDescent="0.25">
      <c r="A303" s="154"/>
      <c r="B303" s="187"/>
      <c r="C303" s="160"/>
      <c r="D303" s="41"/>
      <c r="E303" s="160"/>
      <c r="F303" s="34" t="s">
        <v>15</v>
      </c>
      <c r="G303" s="35">
        <f>H303+I303+J303+K303+M303</f>
        <v>0</v>
      </c>
      <c r="H303" s="35">
        <f t="shared" ref="H303:M305" si="90">H307</f>
        <v>0</v>
      </c>
      <c r="I303" s="35">
        <f t="shared" si="90"/>
        <v>0</v>
      </c>
      <c r="J303" s="35">
        <f t="shared" si="90"/>
        <v>0</v>
      </c>
      <c r="K303" s="35">
        <f t="shared" si="90"/>
        <v>0</v>
      </c>
      <c r="L303" s="35">
        <f>L307</f>
        <v>0</v>
      </c>
      <c r="M303" s="35">
        <f t="shared" si="90"/>
        <v>0</v>
      </c>
      <c r="N303" s="55"/>
    </row>
    <row r="304" spans="1:14" ht="21.75" hidden="1" customHeight="1" outlineLevel="1" x14ac:dyDescent="0.25">
      <c r="A304" s="154"/>
      <c r="B304" s="187"/>
      <c r="C304" s="160"/>
      <c r="D304" s="41"/>
      <c r="E304" s="160"/>
      <c r="F304" s="34" t="s">
        <v>16</v>
      </c>
      <c r="G304" s="35">
        <f>H304+I304+J304+K304+M304</f>
        <v>0</v>
      </c>
      <c r="H304" s="35">
        <f t="shared" si="90"/>
        <v>0</v>
      </c>
      <c r="I304" s="35">
        <f t="shared" si="90"/>
        <v>0</v>
      </c>
      <c r="J304" s="35">
        <f t="shared" si="90"/>
        <v>0</v>
      </c>
      <c r="K304" s="35">
        <f t="shared" si="90"/>
        <v>0</v>
      </c>
      <c r="L304" s="35">
        <f>L308</f>
        <v>0</v>
      </c>
      <c r="M304" s="35">
        <f t="shared" si="90"/>
        <v>0</v>
      </c>
      <c r="N304" s="55"/>
    </row>
    <row r="305" spans="1:41" ht="21.75" hidden="1" customHeight="1" outlineLevel="1" x14ac:dyDescent="0.25">
      <c r="A305" s="155"/>
      <c r="B305" s="188"/>
      <c r="C305" s="161"/>
      <c r="D305" s="42"/>
      <c r="E305" s="161"/>
      <c r="F305" s="34" t="s">
        <v>17</v>
      </c>
      <c r="G305" s="35">
        <f>H305+I305+J305+K305+M305</f>
        <v>0</v>
      </c>
      <c r="H305" s="35">
        <f t="shared" si="90"/>
        <v>0</v>
      </c>
      <c r="I305" s="35">
        <f t="shared" si="90"/>
        <v>0</v>
      </c>
      <c r="J305" s="35">
        <f t="shared" si="90"/>
        <v>0</v>
      </c>
      <c r="K305" s="35">
        <f t="shared" si="90"/>
        <v>0</v>
      </c>
      <c r="L305" s="35">
        <f>L309</f>
        <v>0</v>
      </c>
      <c r="M305" s="35">
        <f t="shared" si="90"/>
        <v>0</v>
      </c>
      <c r="N305" s="55"/>
    </row>
    <row r="306" spans="1:41" ht="30.75" hidden="1" customHeight="1" outlineLevel="1" x14ac:dyDescent="0.25">
      <c r="A306" s="109" t="s">
        <v>128</v>
      </c>
      <c r="B306" s="112" t="s">
        <v>129</v>
      </c>
      <c r="C306" s="115" t="s">
        <v>11</v>
      </c>
      <c r="D306" s="115" t="s">
        <v>113</v>
      </c>
      <c r="E306" s="115" t="s">
        <v>13</v>
      </c>
      <c r="F306" s="12" t="s">
        <v>14</v>
      </c>
      <c r="G306" s="22">
        <f t="shared" ref="G306:M306" si="91">G307+G308+G309</f>
        <v>0</v>
      </c>
      <c r="H306" s="22">
        <f t="shared" si="91"/>
        <v>0</v>
      </c>
      <c r="I306" s="22">
        <f t="shared" si="91"/>
        <v>0</v>
      </c>
      <c r="J306" s="22">
        <f t="shared" si="91"/>
        <v>0</v>
      </c>
      <c r="K306" s="22">
        <f t="shared" si="91"/>
        <v>0</v>
      </c>
      <c r="L306" s="22">
        <f>L307+L308+L309</f>
        <v>0</v>
      </c>
      <c r="M306" s="22">
        <f t="shared" si="91"/>
        <v>0</v>
      </c>
      <c r="N306" s="202" t="s">
        <v>130</v>
      </c>
    </row>
    <row r="307" spans="1:41" ht="30.75" hidden="1" customHeight="1" outlineLevel="1" x14ac:dyDescent="0.25">
      <c r="A307" s="110"/>
      <c r="B307" s="113"/>
      <c r="C307" s="116"/>
      <c r="D307" s="116"/>
      <c r="E307" s="116"/>
      <c r="F307" s="12" t="s">
        <v>15</v>
      </c>
      <c r="G307" s="22">
        <f>H307+I307+J307+K307+M307</f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03"/>
    </row>
    <row r="308" spans="1:41" ht="30.75" hidden="1" customHeight="1" outlineLevel="1" x14ac:dyDescent="0.25">
      <c r="A308" s="110"/>
      <c r="B308" s="113"/>
      <c r="C308" s="116"/>
      <c r="D308" s="116"/>
      <c r="E308" s="116"/>
      <c r="F308" s="12" t="s">
        <v>16</v>
      </c>
      <c r="G308" s="22">
        <f>H308+I308+J308+K308+M308</f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03"/>
    </row>
    <row r="309" spans="1:41" ht="30.75" hidden="1" customHeight="1" outlineLevel="1" x14ac:dyDescent="0.25">
      <c r="A309" s="111"/>
      <c r="B309" s="114"/>
      <c r="C309" s="117"/>
      <c r="D309" s="117"/>
      <c r="E309" s="117"/>
      <c r="F309" s="12" t="s">
        <v>17</v>
      </c>
      <c r="G309" s="22">
        <f>H309+I309+J309+K309+M309</f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03"/>
    </row>
    <row r="310" spans="1:41" ht="21.75" customHeight="1" collapsed="1" x14ac:dyDescent="0.25">
      <c r="A310" s="204" t="s">
        <v>115</v>
      </c>
      <c r="B310" s="207" t="s">
        <v>116</v>
      </c>
      <c r="C310" s="208"/>
      <c r="D310" s="208"/>
      <c r="E310" s="209"/>
      <c r="F310" s="44" t="s">
        <v>14</v>
      </c>
      <c r="G310" s="45">
        <f t="shared" ref="G310:M310" si="92">G311+G312+G313</f>
        <v>5669685616.75</v>
      </c>
      <c r="H310" s="45">
        <f t="shared" si="92"/>
        <v>952111245</v>
      </c>
      <c r="I310" s="45">
        <f t="shared" si="92"/>
        <v>1061957868.36</v>
      </c>
      <c r="J310" s="45">
        <f t="shared" si="92"/>
        <v>1249365484.9299998</v>
      </c>
      <c r="K310" s="45">
        <f t="shared" si="92"/>
        <v>1239219726.55</v>
      </c>
      <c r="L310" s="45">
        <f>L311+L312+L313</f>
        <v>1158031957.79</v>
      </c>
      <c r="M310" s="45">
        <f t="shared" si="92"/>
        <v>1167031291.9099998</v>
      </c>
      <c r="N310" s="55"/>
    </row>
    <row r="311" spans="1:41" ht="21.75" customHeight="1" x14ac:dyDescent="0.25">
      <c r="A311" s="205"/>
      <c r="B311" s="210"/>
      <c r="C311" s="211"/>
      <c r="D311" s="211"/>
      <c r="E311" s="212"/>
      <c r="F311" s="44" t="s">
        <v>133</v>
      </c>
      <c r="G311" s="45">
        <f>H311+I311+J311+K311+M311</f>
        <v>1497706788.05</v>
      </c>
      <c r="H311" s="45">
        <f t="shared" ref="H311:M313" si="93">H303+H251+H227+H159+H11+H287+H295</f>
        <v>257261460.34999999</v>
      </c>
      <c r="I311" s="45">
        <f t="shared" si="93"/>
        <v>274006749.57000005</v>
      </c>
      <c r="J311" s="45">
        <f t="shared" si="93"/>
        <v>305893043.46000004</v>
      </c>
      <c r="K311" s="45">
        <f t="shared" si="93"/>
        <v>335491084.26999998</v>
      </c>
      <c r="L311" s="45">
        <f t="shared" si="93"/>
        <v>321802747.78999996</v>
      </c>
      <c r="M311" s="45">
        <f t="shared" si="93"/>
        <v>325054450.39999992</v>
      </c>
      <c r="N311" s="55"/>
    </row>
    <row r="312" spans="1:41" ht="21.75" customHeight="1" x14ac:dyDescent="0.25">
      <c r="A312" s="205"/>
      <c r="B312" s="210"/>
      <c r="C312" s="211"/>
      <c r="D312" s="211"/>
      <c r="E312" s="212"/>
      <c r="F312" s="44" t="s">
        <v>16</v>
      </c>
      <c r="G312" s="45">
        <f>H312+I312+J312+K312+M312</f>
        <v>3781331861.3800001</v>
      </c>
      <c r="H312" s="45">
        <f t="shared" si="93"/>
        <v>674427650.64999998</v>
      </c>
      <c r="I312" s="45">
        <f t="shared" si="93"/>
        <v>721973504.32999992</v>
      </c>
      <c r="J312" s="45">
        <f t="shared" si="93"/>
        <v>762876058.57999992</v>
      </c>
      <c r="K312" s="45">
        <f t="shared" si="93"/>
        <v>826730896.31000006</v>
      </c>
      <c r="L312" s="45">
        <f t="shared" si="93"/>
        <v>788801120</v>
      </c>
      <c r="M312" s="45">
        <f t="shared" si="93"/>
        <v>795323751.50999999</v>
      </c>
      <c r="N312" s="55"/>
    </row>
    <row r="313" spans="1:41" ht="21.75" customHeight="1" x14ac:dyDescent="0.25">
      <c r="A313" s="206"/>
      <c r="B313" s="213"/>
      <c r="C313" s="214"/>
      <c r="D313" s="214"/>
      <c r="E313" s="215"/>
      <c r="F313" s="44" t="s">
        <v>17</v>
      </c>
      <c r="G313" s="45">
        <f>H313+I313+J313+K313+M313</f>
        <v>390646967.31999993</v>
      </c>
      <c r="H313" s="45">
        <f t="shared" si="93"/>
        <v>20422134</v>
      </c>
      <c r="I313" s="45">
        <f t="shared" si="93"/>
        <v>65977614.459999993</v>
      </c>
      <c r="J313" s="45">
        <f t="shared" si="93"/>
        <v>180596382.88999999</v>
      </c>
      <c r="K313" s="45">
        <f t="shared" si="93"/>
        <v>76997745.969999999</v>
      </c>
      <c r="L313" s="45">
        <f t="shared" si="93"/>
        <v>47428090</v>
      </c>
      <c r="M313" s="45">
        <f t="shared" si="93"/>
        <v>46653090</v>
      </c>
      <c r="N313" s="55"/>
    </row>
    <row r="314" spans="1:41" x14ac:dyDescent="0.25">
      <c r="I314" s="43">
        <f>'[12]остатки средств в ФК_9'!$R$101-1600000</f>
        <v>1061957868.36</v>
      </c>
      <c r="J314" s="43">
        <f>'[4]остатки средств в ФК_3'!$R$116</f>
        <v>1249365484.9300001</v>
      </c>
      <c r="K314" s="43">
        <f>'[17]СРБ на план. период'!T105</f>
        <v>1239219726.55</v>
      </c>
      <c r="L314" s="43">
        <f>'[17]СРБ на план. период'!U105</f>
        <v>1158031957.79</v>
      </c>
      <c r="M314" s="43">
        <f>'[17]СРБ на план. период'!V105</f>
        <v>1167031291.9100001</v>
      </c>
    </row>
    <row r="315" spans="1:41" x14ac:dyDescent="0.25">
      <c r="I315" s="43">
        <f>I310-I314</f>
        <v>0</v>
      </c>
      <c r="J315" s="43">
        <f>J310-J314</f>
        <v>0</v>
      </c>
      <c r="K315" s="43">
        <f>K310-K314</f>
        <v>0</v>
      </c>
      <c r="L315" s="43">
        <f>L310-L314</f>
        <v>0</v>
      </c>
      <c r="M315" s="43">
        <f>M310-M314</f>
        <v>0</v>
      </c>
    </row>
    <row r="316" spans="1:41" x14ac:dyDescent="0.25">
      <c r="J316" s="30"/>
      <c r="L316" s="30"/>
      <c r="M316" s="30"/>
    </row>
    <row r="317" spans="1:41" s="17" customFormat="1" x14ac:dyDescent="0.25">
      <c r="A317" s="2"/>
      <c r="B317" s="14"/>
      <c r="C317" s="13"/>
      <c r="D317" s="2"/>
      <c r="E317" s="2"/>
      <c r="F317" s="2"/>
      <c r="I317" s="30"/>
      <c r="N317" s="27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22" spans="10:13" x14ac:dyDescent="0.25">
      <c r="J322" s="30"/>
      <c r="K322" s="30"/>
      <c r="L322" s="30"/>
      <c r="M322" s="30"/>
    </row>
  </sheetData>
  <mergeCells count="405">
    <mergeCell ref="N306:N309"/>
    <mergeCell ref="A310:A313"/>
    <mergeCell ref="B310:E313"/>
    <mergeCell ref="A166:A169"/>
    <mergeCell ref="B166:B169"/>
    <mergeCell ref="C166:C169"/>
    <mergeCell ref="D166:D169"/>
    <mergeCell ref="E166:E169"/>
    <mergeCell ref="N298:N301"/>
    <mergeCell ref="A302:A305"/>
    <mergeCell ref="B302:B305"/>
    <mergeCell ref="C302:C305"/>
    <mergeCell ref="E302:E305"/>
    <mergeCell ref="A306:A309"/>
    <mergeCell ref="B306:B309"/>
    <mergeCell ref="C306:C309"/>
    <mergeCell ref="D306:D309"/>
    <mergeCell ref="E306:E309"/>
    <mergeCell ref="A294:A297"/>
    <mergeCell ref="B294:B297"/>
    <mergeCell ref="C294:C297"/>
    <mergeCell ref="E294:E297"/>
    <mergeCell ref="A298:A301"/>
    <mergeCell ref="B298:B301"/>
    <mergeCell ref="C298:C301"/>
    <mergeCell ref="D298:D301"/>
    <mergeCell ref="E298:E301"/>
    <mergeCell ref="A290:A293"/>
    <mergeCell ref="B290:B293"/>
    <mergeCell ref="C290:C293"/>
    <mergeCell ref="D290:D293"/>
    <mergeCell ref="E290:E293"/>
    <mergeCell ref="N290:N293"/>
    <mergeCell ref="A286:A289"/>
    <mergeCell ref="B286:B289"/>
    <mergeCell ref="C286:C289"/>
    <mergeCell ref="E286:E289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E278:E281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B282:B285"/>
    <mergeCell ref="C282:C285"/>
    <mergeCell ref="D282:D285"/>
    <mergeCell ref="E282:E285"/>
    <mergeCell ref="N254:N285"/>
    <mergeCell ref="A258:A261"/>
    <mergeCell ref="B258:B261"/>
    <mergeCell ref="C258:C261"/>
    <mergeCell ref="D258:D261"/>
    <mergeCell ref="A250:A253"/>
    <mergeCell ref="B250:B253"/>
    <mergeCell ref="C250:C253"/>
    <mergeCell ref="D250:D253"/>
    <mergeCell ref="E250:E253"/>
    <mergeCell ref="N250:N253"/>
    <mergeCell ref="E258:E261"/>
    <mergeCell ref="A262:A265"/>
    <mergeCell ref="B262:B265"/>
    <mergeCell ref="C262:C265"/>
    <mergeCell ref="D262:D265"/>
    <mergeCell ref="E262:E265"/>
    <mergeCell ref="A254:A257"/>
    <mergeCell ref="B254:B257"/>
    <mergeCell ref="C254:C257"/>
    <mergeCell ref="D254:D257"/>
    <mergeCell ref="E254:E257"/>
    <mergeCell ref="A266:A269"/>
    <mergeCell ref="B266:B269"/>
    <mergeCell ref="D230:D233"/>
    <mergeCell ref="E230:E233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B222:B225"/>
    <mergeCell ref="C222:C225"/>
    <mergeCell ref="D222:D225"/>
    <mergeCell ref="E222:E225"/>
    <mergeCell ref="N230:N249"/>
    <mergeCell ref="A234:A237"/>
    <mergeCell ref="B234:B237"/>
    <mergeCell ref="C234:C237"/>
    <mergeCell ref="D234:D237"/>
    <mergeCell ref="A226:A229"/>
    <mergeCell ref="B226:B229"/>
    <mergeCell ref="C226:C229"/>
    <mergeCell ref="D226:D229"/>
    <mergeCell ref="E226:E229"/>
    <mergeCell ref="N226:N229"/>
    <mergeCell ref="E234:E237"/>
    <mergeCell ref="A238:A241"/>
    <mergeCell ref="B238:B241"/>
    <mergeCell ref="C238:C241"/>
    <mergeCell ref="D238:D241"/>
    <mergeCell ref="E238:E241"/>
    <mergeCell ref="A230:A233"/>
    <mergeCell ref="B230:B233"/>
    <mergeCell ref="C230:C233"/>
    <mergeCell ref="B214:B217"/>
    <mergeCell ref="C214:C217"/>
    <mergeCell ref="D214:D217"/>
    <mergeCell ref="E214:E217"/>
    <mergeCell ref="A218:A221"/>
    <mergeCell ref="B218:B221"/>
    <mergeCell ref="C218:C221"/>
    <mergeCell ref="D218:D221"/>
    <mergeCell ref="E218:E221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N162:N225"/>
    <mergeCell ref="A170:A173"/>
    <mergeCell ref="B170:B173"/>
    <mergeCell ref="C170:C173"/>
    <mergeCell ref="D170:D173"/>
    <mergeCell ref="A158:A161"/>
    <mergeCell ref="B158:B161"/>
    <mergeCell ref="C158:C161"/>
    <mergeCell ref="D158:D161"/>
    <mergeCell ref="E158:E161"/>
    <mergeCell ref="N158:N161"/>
    <mergeCell ref="E170:E173"/>
    <mergeCell ref="A174:A177"/>
    <mergeCell ref="B174:B177"/>
    <mergeCell ref="C174:C177"/>
    <mergeCell ref="D174:D177"/>
    <mergeCell ref="E174:E177"/>
    <mergeCell ref="A162:A165"/>
    <mergeCell ref="B162:B165"/>
    <mergeCell ref="C162:C165"/>
    <mergeCell ref="D162:D165"/>
    <mergeCell ref="E162:E165"/>
    <mergeCell ref="A178:A181"/>
    <mergeCell ref="B178:B181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7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оконч.2022 и бюджет 2023-25</vt:lpstr>
      <vt:lpstr>на 01.03.</vt:lpstr>
      <vt:lpstr>на 01.04</vt:lpstr>
      <vt:lpstr>на 01.06</vt:lpstr>
      <vt:lpstr>'на 01.03.'!Область_печати</vt:lpstr>
      <vt:lpstr>'на 01.04'!Область_печати</vt:lpstr>
      <vt:lpstr>'на 01.06'!Область_печати</vt:lpstr>
      <vt:lpstr>'оконч.2022 и бюджет 2023-25'!Область_печати</vt:lpstr>
    </vt:vector>
  </TitlesOfParts>
  <Manager/>
  <Company>MoBIL GROUP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Орготдел</cp:lastModifiedBy>
  <cp:revision/>
  <cp:lastPrinted>2023-06-20T11:38:30Z</cp:lastPrinted>
  <dcterms:created xsi:type="dcterms:W3CDTF">2016-12-27T10:55:56Z</dcterms:created>
  <dcterms:modified xsi:type="dcterms:W3CDTF">2023-06-21T13:25:58Z</dcterms:modified>
  <cp:category/>
  <cp:contentStatus/>
</cp:coreProperties>
</file>