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5192" windowHeight="11832" activeTab="4"/>
  </bookViews>
  <sheets>
    <sheet name="Доходы на 2024 г." sheetId="5" r:id="rId1"/>
    <sheet name="ПЗ" sheetId="2" r:id="rId2"/>
    <sheet name="_Приложение" sheetId="6" r:id="rId3"/>
    <sheet name="Приложение" sheetId="3" state="hidden" r:id="rId4"/>
    <sheet name="СД" sheetId="4" r:id="rId5"/>
  </sheets>
  <definedNames>
    <definedName name="_xlnm.Print_Titles" localSheetId="2">_Приложение!$16:$18</definedName>
    <definedName name="_xlnm.Print_Titles" localSheetId="0">'Доходы на 2024 г.'!$4:$6</definedName>
    <definedName name="_xlnm.Print_Titles" localSheetId="1">ПЗ!$2:$4</definedName>
    <definedName name="_xlnm.Print_Titles" localSheetId="3">Приложение!$10:$12</definedName>
    <definedName name="_xlnm.Print_Titles" localSheetId="4">СД!$16:$18</definedName>
    <definedName name="_xlnm.Print_Area" localSheetId="2">_Приложение!$A$66:$Y$86</definedName>
    <definedName name="_xlnm.Print_Area" localSheetId="0">'Доходы на 2024 г.'!$A$1:$E$88</definedName>
    <definedName name="_xlnm.Print_Area" localSheetId="1">ПЗ!$A$45:$U$114</definedName>
    <definedName name="_xlnm.Print_Area" localSheetId="3">Приложение!$A$53:$K$105</definedName>
    <definedName name="_xlnm.Print_Area" localSheetId="4">СД!$A$1:$E$127</definedName>
  </definedNames>
  <calcPr calcId="162913"/>
</workbook>
</file>

<file path=xl/calcChain.xml><?xml version="1.0" encoding="utf-8"?>
<calcChain xmlns="http://schemas.openxmlformats.org/spreadsheetml/2006/main">
  <c r="G66" i="4"/>
  <c r="H66"/>
  <c r="F66"/>
  <c r="K87" i="6"/>
  <c r="K73" i="2"/>
  <c r="Y118" i="6" l="1"/>
  <c r="Y119"/>
  <c r="R118"/>
  <c r="R119"/>
  <c r="R120"/>
  <c r="K119"/>
  <c r="Y104" i="2" l="1"/>
  <c r="Y105"/>
  <c r="Y106"/>
  <c r="R106"/>
  <c r="R104"/>
  <c r="R105"/>
  <c r="K105"/>
  <c r="G123" i="4" l="1"/>
  <c r="H123"/>
  <c r="G122"/>
  <c r="H122"/>
  <c r="F122"/>
  <c r="F123" s="1"/>
  <c r="G90"/>
  <c r="H90"/>
  <c r="G67"/>
  <c r="H67"/>
  <c r="H106" l="1"/>
  <c r="H107" s="1"/>
  <c r="G106"/>
  <c r="G107" s="1"/>
  <c r="F106"/>
  <c r="F107" s="1"/>
  <c r="H61" l="1"/>
  <c r="H59" s="1"/>
  <c r="G61"/>
  <c r="G59" s="1"/>
  <c r="F67" l="1"/>
  <c r="Y85" i="6"/>
  <c r="Y86"/>
  <c r="R85"/>
  <c r="R86"/>
  <c r="R83"/>
  <c r="R84"/>
  <c r="Y83"/>
  <c r="Y84"/>
  <c r="X122"/>
  <c r="X106"/>
  <c r="X89"/>
  <c r="X66"/>
  <c r="Y64"/>
  <c r="Y62"/>
  <c r="X62"/>
  <c r="Y51"/>
  <c r="Y48"/>
  <c r="Y43"/>
  <c r="Y42"/>
  <c r="Y38"/>
  <c r="Y37" s="1"/>
  <c r="Y32"/>
  <c r="Y27"/>
  <c r="Y24"/>
  <c r="Y21"/>
  <c r="Q122"/>
  <c r="Q106"/>
  <c r="Q89"/>
  <c r="Q66"/>
  <c r="R64"/>
  <c r="R62" s="1"/>
  <c r="Q62"/>
  <c r="R51"/>
  <c r="R48"/>
  <c r="R43"/>
  <c r="R42"/>
  <c r="R38"/>
  <c r="R37" s="1"/>
  <c r="R32"/>
  <c r="R27"/>
  <c r="R24"/>
  <c r="R21"/>
  <c r="Y71" i="2"/>
  <c r="Y72"/>
  <c r="R71"/>
  <c r="R72"/>
  <c r="K118" i="6"/>
  <c r="K104" i="2"/>
  <c r="K84" i="6"/>
  <c r="K85"/>
  <c r="K86"/>
  <c r="K72" i="2"/>
  <c r="R19" i="6" l="1"/>
  <c r="Y19"/>
  <c r="X61"/>
  <c r="X59" s="1"/>
  <c r="X126" s="1"/>
  <c r="Q61"/>
  <c r="Q59" s="1"/>
  <c r="Q126" s="1"/>
  <c r="K120" l="1"/>
  <c r="K106" i="2"/>
  <c r="K71" l="1"/>
  <c r="Y69"/>
  <c r="Y70"/>
  <c r="R69"/>
  <c r="R70"/>
  <c r="R76"/>
  <c r="K70"/>
  <c r="Y110"/>
  <c r="Y109"/>
  <c r="Y108" s="1"/>
  <c r="X108"/>
  <c r="Y93"/>
  <c r="X92"/>
  <c r="Y76"/>
  <c r="X75"/>
  <c r="Y55"/>
  <c r="X52"/>
  <c r="Y50"/>
  <c r="Y48" s="1"/>
  <c r="X48"/>
  <c r="Y37"/>
  <c r="Y34"/>
  <c r="Y29"/>
  <c r="Y28"/>
  <c r="Y24"/>
  <c r="Y23" s="1"/>
  <c r="Y18"/>
  <c r="Y13"/>
  <c r="Y10"/>
  <c r="Y7"/>
  <c r="Y5" s="1"/>
  <c r="R110"/>
  <c r="R109"/>
  <c r="R108" s="1"/>
  <c r="Q108"/>
  <c r="R93"/>
  <c r="Q92"/>
  <c r="Q75"/>
  <c r="R55"/>
  <c r="Q52"/>
  <c r="R50"/>
  <c r="R48" s="1"/>
  <c r="Q48"/>
  <c r="R37"/>
  <c r="R34"/>
  <c r="R29"/>
  <c r="R28" s="1"/>
  <c r="R24"/>
  <c r="R23" s="1"/>
  <c r="R5" s="1"/>
  <c r="R18"/>
  <c r="R13"/>
  <c r="R10"/>
  <c r="R7"/>
  <c r="Q47" l="1"/>
  <c r="Q45" s="1"/>
  <c r="Q112" s="1"/>
  <c r="X47"/>
  <c r="X45" s="1"/>
  <c r="X112" s="1"/>
  <c r="J122" i="6"/>
  <c r="J106"/>
  <c r="J89"/>
  <c r="J66"/>
  <c r="K62"/>
  <c r="J62"/>
  <c r="K51"/>
  <c r="K48"/>
  <c r="K43"/>
  <c r="K42"/>
  <c r="K38"/>
  <c r="K37" s="1"/>
  <c r="K32"/>
  <c r="K27"/>
  <c r="K24"/>
  <c r="J21"/>
  <c r="J19" s="1"/>
  <c r="K110" i="2"/>
  <c r="K109"/>
  <c r="K108" s="1"/>
  <c r="J108"/>
  <c r="K95"/>
  <c r="K94"/>
  <c r="K93"/>
  <c r="J92"/>
  <c r="J75"/>
  <c r="J52"/>
  <c r="K48"/>
  <c r="J48"/>
  <c r="K37"/>
  <c r="K34"/>
  <c r="K29"/>
  <c r="K28"/>
  <c r="K24"/>
  <c r="K23" s="1"/>
  <c r="K18"/>
  <c r="K13"/>
  <c r="K10"/>
  <c r="K8"/>
  <c r="K7" s="1"/>
  <c r="J7"/>
  <c r="J5" s="1"/>
  <c r="I83" i="6"/>
  <c r="K83" s="1"/>
  <c r="I69" i="2"/>
  <c r="K69" s="1"/>
  <c r="K5" l="1"/>
  <c r="J61" i="6"/>
  <c r="J59" s="1"/>
  <c r="J126" s="1"/>
  <c r="J47" i="2"/>
  <c r="J45" s="1"/>
  <c r="J112" s="1"/>
  <c r="I117" i="6"/>
  <c r="K117" s="1"/>
  <c r="G126" i="4"/>
  <c r="G127" s="1"/>
  <c r="H126"/>
  <c r="H127" s="1"/>
  <c r="G62"/>
  <c r="H62"/>
  <c r="F62"/>
  <c r="G89"/>
  <c r="H89"/>
  <c r="F89"/>
  <c r="V106" i="6"/>
  <c r="W117"/>
  <c r="Y117" s="1"/>
  <c r="O106"/>
  <c r="P117"/>
  <c r="R117" s="1"/>
  <c r="H106"/>
  <c r="I76"/>
  <c r="K76" s="1"/>
  <c r="I73"/>
  <c r="K73" s="1"/>
  <c r="I71"/>
  <c r="K71" s="1"/>
  <c r="H66"/>
  <c r="I68"/>
  <c r="K68" s="1"/>
  <c r="I67"/>
  <c r="K67" s="1"/>
  <c r="V92" i="2"/>
  <c r="W103"/>
  <c r="Y103" s="1"/>
  <c r="O92"/>
  <c r="P103"/>
  <c r="R103" s="1"/>
  <c r="I103"/>
  <c r="K103" s="1"/>
  <c r="I62"/>
  <c r="K62" s="1"/>
  <c r="I59"/>
  <c r="K59" s="1"/>
  <c r="I57"/>
  <c r="K57" s="1"/>
  <c r="F90" i="4" l="1"/>
  <c r="F61"/>
  <c r="H52" i="2"/>
  <c r="I54"/>
  <c r="K54" s="1"/>
  <c r="I53"/>
  <c r="K53" s="1"/>
  <c r="F59" i="4" l="1"/>
  <c r="I61"/>
  <c r="W116" i="6"/>
  <c r="Y116" s="1"/>
  <c r="W91"/>
  <c r="Y91" s="1"/>
  <c r="W92"/>
  <c r="Y92" s="1"/>
  <c r="W93"/>
  <c r="Y93" s="1"/>
  <c r="W94"/>
  <c r="Y94" s="1"/>
  <c r="W95"/>
  <c r="Y95" s="1"/>
  <c r="W96"/>
  <c r="Y96" s="1"/>
  <c r="W102"/>
  <c r="Y102" s="1"/>
  <c r="W103"/>
  <c r="Y103" s="1"/>
  <c r="W90"/>
  <c r="Y90" s="1"/>
  <c r="W70"/>
  <c r="Y70" s="1"/>
  <c r="W74"/>
  <c r="Y74" s="1"/>
  <c r="W75"/>
  <c r="Y75" s="1"/>
  <c r="W78"/>
  <c r="Y78" s="1"/>
  <c r="W79"/>
  <c r="Y79" s="1"/>
  <c r="W80"/>
  <c r="Y80" s="1"/>
  <c r="W81"/>
  <c r="Y81" s="1"/>
  <c r="P108"/>
  <c r="R108" s="1"/>
  <c r="P109"/>
  <c r="R109" s="1"/>
  <c r="P110"/>
  <c r="R110" s="1"/>
  <c r="P111"/>
  <c r="R111" s="1"/>
  <c r="P112"/>
  <c r="R112" s="1"/>
  <c r="P113"/>
  <c r="R113" s="1"/>
  <c r="P114"/>
  <c r="R114" s="1"/>
  <c r="P115"/>
  <c r="R115" s="1"/>
  <c r="P116"/>
  <c r="R116" s="1"/>
  <c r="P91"/>
  <c r="R91" s="1"/>
  <c r="P92"/>
  <c r="R92" s="1"/>
  <c r="P93"/>
  <c r="R93" s="1"/>
  <c r="P94"/>
  <c r="R94" s="1"/>
  <c r="P95"/>
  <c r="R95" s="1"/>
  <c r="P96"/>
  <c r="R96" s="1"/>
  <c r="P102"/>
  <c r="R102" s="1"/>
  <c r="P103"/>
  <c r="R103" s="1"/>
  <c r="P90"/>
  <c r="R90" s="1"/>
  <c r="P70"/>
  <c r="R70" s="1"/>
  <c r="P74"/>
  <c r="R74" s="1"/>
  <c r="P75"/>
  <c r="R75" s="1"/>
  <c r="P78"/>
  <c r="R78" s="1"/>
  <c r="P79"/>
  <c r="R79" s="1"/>
  <c r="P80"/>
  <c r="R80" s="1"/>
  <c r="P81"/>
  <c r="R81" s="1"/>
  <c r="I123"/>
  <c r="K123" s="1"/>
  <c r="I109"/>
  <c r="K109" s="1"/>
  <c r="I114"/>
  <c r="K114" s="1"/>
  <c r="I91"/>
  <c r="K91" s="1"/>
  <c r="I92"/>
  <c r="K92" s="1"/>
  <c r="I93"/>
  <c r="K93" s="1"/>
  <c r="I94"/>
  <c r="K94" s="1"/>
  <c r="I95"/>
  <c r="K95" s="1"/>
  <c r="I96"/>
  <c r="K96" s="1"/>
  <c r="I102"/>
  <c r="K102" s="1"/>
  <c r="I103"/>
  <c r="K103" s="1"/>
  <c r="I90"/>
  <c r="K90" s="1"/>
  <c r="I78"/>
  <c r="K78" s="1"/>
  <c r="I79"/>
  <c r="K79" s="1"/>
  <c r="V122"/>
  <c r="V89"/>
  <c r="V66"/>
  <c r="W64"/>
  <c r="W62" s="1"/>
  <c r="V62"/>
  <c r="W51"/>
  <c r="W48"/>
  <c r="W43"/>
  <c r="W42" s="1"/>
  <c r="W38"/>
  <c r="W37" s="1"/>
  <c r="W32"/>
  <c r="W27"/>
  <c r="W24"/>
  <c r="W21"/>
  <c r="O122"/>
  <c r="O89"/>
  <c r="O66"/>
  <c r="P64"/>
  <c r="P62" s="1"/>
  <c r="O62"/>
  <c r="P51"/>
  <c r="P48"/>
  <c r="P43"/>
  <c r="P42" s="1"/>
  <c r="P38"/>
  <c r="P37" s="1"/>
  <c r="P32"/>
  <c r="P27"/>
  <c r="P24"/>
  <c r="P21"/>
  <c r="H122"/>
  <c r="H89"/>
  <c r="I62"/>
  <c r="H62"/>
  <c r="I51"/>
  <c r="I48"/>
  <c r="I43"/>
  <c r="I42" s="1"/>
  <c r="I38"/>
  <c r="I37" s="1"/>
  <c r="I32"/>
  <c r="I27"/>
  <c r="I24"/>
  <c r="H21"/>
  <c r="H19" s="1"/>
  <c r="W110" i="2"/>
  <c r="W102"/>
  <c r="Y102" s="1"/>
  <c r="W77"/>
  <c r="Y77" s="1"/>
  <c r="W78"/>
  <c r="Y78" s="1"/>
  <c r="W79"/>
  <c r="Y79" s="1"/>
  <c r="W80"/>
  <c r="Y80" s="1"/>
  <c r="W81"/>
  <c r="Y81" s="1"/>
  <c r="W82"/>
  <c r="Y82" s="1"/>
  <c r="W88"/>
  <c r="Y88" s="1"/>
  <c r="W89"/>
  <c r="Y89" s="1"/>
  <c r="W76"/>
  <c r="W56"/>
  <c r="Y56" s="1"/>
  <c r="W60"/>
  <c r="Y60" s="1"/>
  <c r="W61"/>
  <c r="Y61" s="1"/>
  <c r="W64"/>
  <c r="Y64" s="1"/>
  <c r="W65"/>
  <c r="Y65" s="1"/>
  <c r="W66"/>
  <c r="Y66" s="1"/>
  <c r="W67"/>
  <c r="Y67" s="1"/>
  <c r="V108"/>
  <c r="V75"/>
  <c r="V52"/>
  <c r="W50"/>
  <c r="W48" s="1"/>
  <c r="V48"/>
  <c r="W37"/>
  <c r="W34"/>
  <c r="W29"/>
  <c r="W28" s="1"/>
  <c r="W24"/>
  <c r="W23" s="1"/>
  <c r="W18"/>
  <c r="W13"/>
  <c r="W10"/>
  <c r="W7"/>
  <c r="P110"/>
  <c r="P109"/>
  <c r="P94"/>
  <c r="R94" s="1"/>
  <c r="P95"/>
  <c r="R95" s="1"/>
  <c r="P96"/>
  <c r="R96" s="1"/>
  <c r="P97"/>
  <c r="R97" s="1"/>
  <c r="P98"/>
  <c r="R98" s="1"/>
  <c r="P99"/>
  <c r="R99" s="1"/>
  <c r="P100"/>
  <c r="R100" s="1"/>
  <c r="P101"/>
  <c r="R101" s="1"/>
  <c r="P102"/>
  <c r="R102" s="1"/>
  <c r="P77"/>
  <c r="R77" s="1"/>
  <c r="P78"/>
  <c r="R78" s="1"/>
  <c r="P79"/>
  <c r="R79" s="1"/>
  <c r="P80"/>
  <c r="R80" s="1"/>
  <c r="P81"/>
  <c r="R81" s="1"/>
  <c r="P82"/>
  <c r="R82" s="1"/>
  <c r="P88"/>
  <c r="R88" s="1"/>
  <c r="P89"/>
  <c r="R89" s="1"/>
  <c r="P76"/>
  <c r="P56"/>
  <c r="R56" s="1"/>
  <c r="P60"/>
  <c r="R60" s="1"/>
  <c r="P61"/>
  <c r="R61" s="1"/>
  <c r="P64"/>
  <c r="R64" s="1"/>
  <c r="P65"/>
  <c r="R65" s="1"/>
  <c r="P66"/>
  <c r="R66" s="1"/>
  <c r="P67"/>
  <c r="R67" s="1"/>
  <c r="O108"/>
  <c r="O75"/>
  <c r="O52"/>
  <c r="P50"/>
  <c r="P48" s="1"/>
  <c r="O48"/>
  <c r="P37"/>
  <c r="P34"/>
  <c r="P29"/>
  <c r="P28" s="1"/>
  <c r="P24"/>
  <c r="P23" s="1"/>
  <c r="P18"/>
  <c r="P13"/>
  <c r="P10"/>
  <c r="P7"/>
  <c r="I109"/>
  <c r="I100"/>
  <c r="K100" s="1"/>
  <c r="I95"/>
  <c r="I88"/>
  <c r="K88" s="1"/>
  <c r="I89"/>
  <c r="K89" s="1"/>
  <c r="I82"/>
  <c r="K82" s="1"/>
  <c r="I81"/>
  <c r="K81" s="1"/>
  <c r="I80"/>
  <c r="K80" s="1"/>
  <c r="I79"/>
  <c r="K79" s="1"/>
  <c r="I78"/>
  <c r="K78" s="1"/>
  <c r="I77"/>
  <c r="K77" s="1"/>
  <c r="I76"/>
  <c r="K76" s="1"/>
  <c r="I65"/>
  <c r="K65" s="1"/>
  <c r="I64"/>
  <c r="K64" s="1"/>
  <c r="H108"/>
  <c r="H92"/>
  <c r="H75"/>
  <c r="I48"/>
  <c r="H48"/>
  <c r="I37"/>
  <c r="I34"/>
  <c r="I29"/>
  <c r="I28"/>
  <c r="I24"/>
  <c r="I23" s="1"/>
  <c r="I18"/>
  <c r="I13"/>
  <c r="I10"/>
  <c r="H7"/>
  <c r="H5" s="1"/>
  <c r="U124" i="6"/>
  <c r="W124" s="1"/>
  <c r="Y124" s="1"/>
  <c r="N124"/>
  <c r="P124" s="1"/>
  <c r="R124" s="1"/>
  <c r="G124"/>
  <c r="G122" s="1"/>
  <c r="U123"/>
  <c r="N123"/>
  <c r="N122" s="1"/>
  <c r="E123"/>
  <c r="E122" s="1"/>
  <c r="T122"/>
  <c r="S122"/>
  <c r="M122"/>
  <c r="L122"/>
  <c r="F122"/>
  <c r="D122"/>
  <c r="C122"/>
  <c r="G116"/>
  <c r="I116" s="1"/>
  <c r="K116" s="1"/>
  <c r="U115"/>
  <c r="W115" s="1"/>
  <c r="Y115" s="1"/>
  <c r="G115"/>
  <c r="I115" s="1"/>
  <c r="K115" s="1"/>
  <c r="U114"/>
  <c r="W114" s="1"/>
  <c r="Y114" s="1"/>
  <c r="U113"/>
  <c r="W113" s="1"/>
  <c r="Y113" s="1"/>
  <c r="G113"/>
  <c r="I113" s="1"/>
  <c r="K113" s="1"/>
  <c r="U112"/>
  <c r="W112" s="1"/>
  <c r="Y112" s="1"/>
  <c r="G112"/>
  <c r="I112" s="1"/>
  <c r="K112" s="1"/>
  <c r="U111"/>
  <c r="W111" s="1"/>
  <c r="Y111" s="1"/>
  <c r="G111"/>
  <c r="I111" s="1"/>
  <c r="K111" s="1"/>
  <c r="U110"/>
  <c r="W110" s="1"/>
  <c r="Y110" s="1"/>
  <c r="G110"/>
  <c r="I110" s="1"/>
  <c r="K110" s="1"/>
  <c r="U109"/>
  <c r="W109" s="1"/>
  <c r="Y109" s="1"/>
  <c r="U108"/>
  <c r="W108" s="1"/>
  <c r="Y108" s="1"/>
  <c r="G108"/>
  <c r="I108" s="1"/>
  <c r="K108" s="1"/>
  <c r="U107"/>
  <c r="W107" s="1"/>
  <c r="Y107" s="1"/>
  <c r="N107"/>
  <c r="N106" s="1"/>
  <c r="G107"/>
  <c r="I107" s="1"/>
  <c r="K107" s="1"/>
  <c r="T106"/>
  <c r="S106"/>
  <c r="M106"/>
  <c r="L106"/>
  <c r="F106"/>
  <c r="E106"/>
  <c r="C106"/>
  <c r="U104"/>
  <c r="W104" s="1"/>
  <c r="Y104" s="1"/>
  <c r="N104"/>
  <c r="P104" s="1"/>
  <c r="R104" s="1"/>
  <c r="G104"/>
  <c r="I104" s="1"/>
  <c r="K104" s="1"/>
  <c r="U101"/>
  <c r="W101" s="1"/>
  <c r="Y101" s="1"/>
  <c r="N101"/>
  <c r="P101" s="1"/>
  <c r="R101" s="1"/>
  <c r="G101"/>
  <c r="I101" s="1"/>
  <c r="K101" s="1"/>
  <c r="U100"/>
  <c r="N100"/>
  <c r="P100" s="1"/>
  <c r="R100" s="1"/>
  <c r="G100"/>
  <c r="I100" s="1"/>
  <c r="K100" s="1"/>
  <c r="U99"/>
  <c r="W99" s="1"/>
  <c r="Y99" s="1"/>
  <c r="N99"/>
  <c r="P99" s="1"/>
  <c r="R99" s="1"/>
  <c r="G99"/>
  <c r="I99" s="1"/>
  <c r="K99" s="1"/>
  <c r="E99"/>
  <c r="U98"/>
  <c r="W98" s="1"/>
  <c r="Y98" s="1"/>
  <c r="N98"/>
  <c r="P98" s="1"/>
  <c r="R98" s="1"/>
  <c r="G98"/>
  <c r="I98" s="1"/>
  <c r="K98" s="1"/>
  <c r="E98"/>
  <c r="E89" s="1"/>
  <c r="U97"/>
  <c r="W97" s="1"/>
  <c r="Y97" s="1"/>
  <c r="N97"/>
  <c r="P97" s="1"/>
  <c r="R97" s="1"/>
  <c r="G97"/>
  <c r="I97" s="1"/>
  <c r="K97" s="1"/>
  <c r="T89"/>
  <c r="S89"/>
  <c r="M89"/>
  <c r="L89"/>
  <c r="F89"/>
  <c r="C89"/>
  <c r="U82"/>
  <c r="W82" s="1"/>
  <c r="Y82" s="1"/>
  <c r="N82"/>
  <c r="P82" s="1"/>
  <c r="R82" s="1"/>
  <c r="G82"/>
  <c r="I82" s="1"/>
  <c r="K82" s="1"/>
  <c r="G81"/>
  <c r="I81" s="1"/>
  <c r="K81" s="1"/>
  <c r="G80"/>
  <c r="I80" s="1"/>
  <c r="K80" s="1"/>
  <c r="U77"/>
  <c r="W77" s="1"/>
  <c r="Y77" s="1"/>
  <c r="N77"/>
  <c r="P77" s="1"/>
  <c r="R77" s="1"/>
  <c r="G77"/>
  <c r="I77" s="1"/>
  <c r="K77" s="1"/>
  <c r="G75"/>
  <c r="I75" s="1"/>
  <c r="K75" s="1"/>
  <c r="G74"/>
  <c r="I74" s="1"/>
  <c r="K74" s="1"/>
  <c r="U72"/>
  <c r="W72" s="1"/>
  <c r="Y72" s="1"/>
  <c r="N72"/>
  <c r="P72" s="1"/>
  <c r="R72" s="1"/>
  <c r="G72"/>
  <c r="I72" s="1"/>
  <c r="K72" s="1"/>
  <c r="G70"/>
  <c r="I70" s="1"/>
  <c r="K70" s="1"/>
  <c r="U69"/>
  <c r="W69" s="1"/>
  <c r="Y69" s="1"/>
  <c r="N69"/>
  <c r="P69" s="1"/>
  <c r="R69" s="1"/>
  <c r="G69"/>
  <c r="T66"/>
  <c r="S66"/>
  <c r="M66"/>
  <c r="L66"/>
  <c r="F66"/>
  <c r="E66"/>
  <c r="C66"/>
  <c r="U64"/>
  <c r="U62" s="1"/>
  <c r="S64"/>
  <c r="S62" s="1"/>
  <c r="N64"/>
  <c r="N62" s="1"/>
  <c r="L64"/>
  <c r="L62" s="1"/>
  <c r="T62"/>
  <c r="M62"/>
  <c r="G62"/>
  <c r="F62"/>
  <c r="E62"/>
  <c r="C62"/>
  <c r="D59"/>
  <c r="U51"/>
  <c r="S51"/>
  <c r="N51"/>
  <c r="L51"/>
  <c r="G51"/>
  <c r="E51"/>
  <c r="C51"/>
  <c r="U48"/>
  <c r="S48"/>
  <c r="N48"/>
  <c r="L48"/>
  <c r="G48"/>
  <c r="E48"/>
  <c r="C48"/>
  <c r="U43"/>
  <c r="U42" s="1"/>
  <c r="S43"/>
  <c r="S42" s="1"/>
  <c r="N43"/>
  <c r="N42" s="1"/>
  <c r="L43"/>
  <c r="L42" s="1"/>
  <c r="G43"/>
  <c r="G42" s="1"/>
  <c r="E43"/>
  <c r="E42" s="1"/>
  <c r="C43"/>
  <c r="C42" s="1"/>
  <c r="U38"/>
  <c r="U37" s="1"/>
  <c r="S38"/>
  <c r="S37" s="1"/>
  <c r="N38"/>
  <c r="N37" s="1"/>
  <c r="L38"/>
  <c r="G38"/>
  <c r="G37" s="1"/>
  <c r="E38"/>
  <c r="E37" s="1"/>
  <c r="C38"/>
  <c r="C37" s="1"/>
  <c r="L37"/>
  <c r="U32"/>
  <c r="S32"/>
  <c r="N32"/>
  <c r="L32"/>
  <c r="G32"/>
  <c r="E32"/>
  <c r="C32"/>
  <c r="U27"/>
  <c r="S27"/>
  <c r="N27"/>
  <c r="L27"/>
  <c r="G27"/>
  <c r="E27"/>
  <c r="C27"/>
  <c r="U24"/>
  <c r="S24"/>
  <c r="N24"/>
  <c r="L24"/>
  <c r="G24"/>
  <c r="E24"/>
  <c r="C24"/>
  <c r="E22"/>
  <c r="E21" s="1"/>
  <c r="U21"/>
  <c r="S21"/>
  <c r="N21"/>
  <c r="L21"/>
  <c r="F21"/>
  <c r="F19" s="1"/>
  <c r="D21"/>
  <c r="D19" s="1"/>
  <c r="C21"/>
  <c r="M104" i="3"/>
  <c r="J104"/>
  <c r="G104"/>
  <c r="G102" s="1"/>
  <c r="M103"/>
  <c r="M102" s="1"/>
  <c r="J103"/>
  <c r="E103"/>
  <c r="L102"/>
  <c r="K102"/>
  <c r="I102"/>
  <c r="H102"/>
  <c r="F102"/>
  <c r="E102"/>
  <c r="D102"/>
  <c r="C102"/>
  <c r="G100"/>
  <c r="M99"/>
  <c r="G99"/>
  <c r="M98"/>
  <c r="M97"/>
  <c r="G97"/>
  <c r="M96"/>
  <c r="G96"/>
  <c r="M95"/>
  <c r="G95"/>
  <c r="M94"/>
  <c r="G94"/>
  <c r="M93"/>
  <c r="M92"/>
  <c r="G92"/>
  <c r="M91"/>
  <c r="J91"/>
  <c r="J90" s="1"/>
  <c r="G91"/>
  <c r="L90"/>
  <c r="K90"/>
  <c r="I90"/>
  <c r="H90"/>
  <c r="F90"/>
  <c r="E90"/>
  <c r="C90"/>
  <c r="M88"/>
  <c r="J88"/>
  <c r="G88"/>
  <c r="M85"/>
  <c r="J85"/>
  <c r="G85"/>
  <c r="M84"/>
  <c r="J84"/>
  <c r="G84"/>
  <c r="M83"/>
  <c r="J83"/>
  <c r="G83"/>
  <c r="E83"/>
  <c r="M82"/>
  <c r="J82"/>
  <c r="G82"/>
  <c r="E82"/>
  <c r="M81"/>
  <c r="J81"/>
  <c r="G81"/>
  <c r="L73"/>
  <c r="K73"/>
  <c r="I73"/>
  <c r="H73"/>
  <c r="F73"/>
  <c r="E73"/>
  <c r="C73"/>
  <c r="M71"/>
  <c r="J71"/>
  <c r="G71"/>
  <c r="G70"/>
  <c r="G69"/>
  <c r="M66"/>
  <c r="J66"/>
  <c r="G66"/>
  <c r="G65"/>
  <c r="G64"/>
  <c r="M63"/>
  <c r="J63"/>
  <c r="G63"/>
  <c r="G62"/>
  <c r="M61"/>
  <c r="J61"/>
  <c r="G61"/>
  <c r="L60"/>
  <c r="K60"/>
  <c r="I60"/>
  <c r="H60"/>
  <c r="F60"/>
  <c r="E60"/>
  <c r="C60"/>
  <c r="M58"/>
  <c r="M56" s="1"/>
  <c r="K58"/>
  <c r="J58"/>
  <c r="J56" s="1"/>
  <c r="H58"/>
  <c r="H56" s="1"/>
  <c r="L56"/>
  <c r="K56"/>
  <c r="K55" s="1"/>
  <c r="I56"/>
  <c r="G56"/>
  <c r="F56"/>
  <c r="E56"/>
  <c r="C56"/>
  <c r="D53"/>
  <c r="M45"/>
  <c r="K45"/>
  <c r="J45"/>
  <c r="H45"/>
  <c r="G45"/>
  <c r="E45"/>
  <c r="C45"/>
  <c r="M42"/>
  <c r="K42"/>
  <c r="J42"/>
  <c r="H42"/>
  <c r="G42"/>
  <c r="E42"/>
  <c r="C42"/>
  <c r="M37"/>
  <c r="M36" s="1"/>
  <c r="K37"/>
  <c r="K36" s="1"/>
  <c r="J37"/>
  <c r="H37"/>
  <c r="H36" s="1"/>
  <c r="G37"/>
  <c r="E37"/>
  <c r="E36" s="1"/>
  <c r="C37"/>
  <c r="J36"/>
  <c r="G36"/>
  <c r="C36"/>
  <c r="M32"/>
  <c r="K32"/>
  <c r="K31" s="1"/>
  <c r="J32"/>
  <c r="J31" s="1"/>
  <c r="H32"/>
  <c r="H31" s="1"/>
  <c r="G32"/>
  <c r="E32"/>
  <c r="E31" s="1"/>
  <c r="C32"/>
  <c r="C31" s="1"/>
  <c r="M31"/>
  <c r="G31"/>
  <c r="M26"/>
  <c r="K26"/>
  <c r="J26"/>
  <c r="H26"/>
  <c r="G26"/>
  <c r="E26"/>
  <c r="C26"/>
  <c r="M21"/>
  <c r="K21"/>
  <c r="J21"/>
  <c r="H21"/>
  <c r="G21"/>
  <c r="E21"/>
  <c r="C21"/>
  <c r="M18"/>
  <c r="K18"/>
  <c r="J18"/>
  <c r="H18"/>
  <c r="G18"/>
  <c r="E18"/>
  <c r="C18"/>
  <c r="E16"/>
  <c r="G16" s="1"/>
  <c r="M15"/>
  <c r="K15"/>
  <c r="J15"/>
  <c r="H15"/>
  <c r="F15"/>
  <c r="D15"/>
  <c r="C15"/>
  <c r="F13"/>
  <c r="D13"/>
  <c r="G110" i="2"/>
  <c r="G108" s="1"/>
  <c r="N110"/>
  <c r="U110"/>
  <c r="C108"/>
  <c r="D108"/>
  <c r="D45" s="1"/>
  <c r="F108"/>
  <c r="L108"/>
  <c r="M108"/>
  <c r="S108"/>
  <c r="T108"/>
  <c r="U109"/>
  <c r="U108" s="1"/>
  <c r="E109"/>
  <c r="E108" s="1"/>
  <c r="N109"/>
  <c r="N108" s="1"/>
  <c r="F126" i="4" l="1"/>
  <c r="F127" s="1"/>
  <c r="I59"/>
  <c r="Y106" i="6"/>
  <c r="R66"/>
  <c r="R89"/>
  <c r="Y66"/>
  <c r="U89"/>
  <c r="U122"/>
  <c r="K89"/>
  <c r="K106"/>
  <c r="R92" i="2"/>
  <c r="I106" i="6"/>
  <c r="W106"/>
  <c r="G66"/>
  <c r="W19"/>
  <c r="K53" i="3"/>
  <c r="K106" s="1"/>
  <c r="P5" i="2"/>
  <c r="W109"/>
  <c r="P19" i="6"/>
  <c r="U106"/>
  <c r="P108" i="2"/>
  <c r="P107" i="6"/>
  <c r="G22"/>
  <c r="I22" s="1"/>
  <c r="C61"/>
  <c r="C59" s="1"/>
  <c r="G89"/>
  <c r="J102" i="3"/>
  <c r="P123" i="6"/>
  <c r="J60" i="3"/>
  <c r="G60"/>
  <c r="C55"/>
  <c r="C53" s="1"/>
  <c r="I69" i="6"/>
  <c r="W100"/>
  <c r="W123"/>
  <c r="W108" i="2"/>
  <c r="M60" i="3"/>
  <c r="M73"/>
  <c r="N19" i="6"/>
  <c r="L19"/>
  <c r="N66"/>
  <c r="I110" i="2"/>
  <c r="I108" s="1"/>
  <c r="I124" i="6"/>
  <c r="E61"/>
  <c r="W66"/>
  <c r="V61"/>
  <c r="V59" s="1"/>
  <c r="V126" s="1"/>
  <c r="O61"/>
  <c r="O59" s="1"/>
  <c r="O126" s="1"/>
  <c r="P89"/>
  <c r="P66"/>
  <c r="H61"/>
  <c r="H59" s="1"/>
  <c r="H126" s="1"/>
  <c r="I89"/>
  <c r="S61"/>
  <c r="S59" s="1"/>
  <c r="L61"/>
  <c r="L59" s="1"/>
  <c r="F61"/>
  <c r="F59" s="1"/>
  <c r="F126" s="1"/>
  <c r="T61"/>
  <c r="T59" s="1"/>
  <c r="T126" s="1"/>
  <c r="V47" i="2"/>
  <c r="V45" s="1"/>
  <c r="V112" s="1"/>
  <c r="W5"/>
  <c r="O47"/>
  <c r="O45" s="1"/>
  <c r="O112" s="1"/>
  <c r="H47"/>
  <c r="H45" s="1"/>
  <c r="H112" s="1"/>
  <c r="N15" i="3"/>
  <c r="G15"/>
  <c r="G13" s="1"/>
  <c r="M13"/>
  <c r="I55"/>
  <c r="I53" s="1"/>
  <c r="I106" s="1"/>
  <c r="G73"/>
  <c r="D106"/>
  <c r="J13"/>
  <c r="F55"/>
  <c r="F53" s="1"/>
  <c r="F106" s="1"/>
  <c r="U66" i="6"/>
  <c r="G106"/>
  <c r="J73" i="3"/>
  <c r="E55"/>
  <c r="E53" s="1"/>
  <c r="H55"/>
  <c r="H53" s="1"/>
  <c r="H106" s="1"/>
  <c r="G90"/>
  <c r="G55" s="1"/>
  <c r="G53" s="1"/>
  <c r="G106" s="1"/>
  <c r="M61" i="6"/>
  <c r="M59" s="1"/>
  <c r="M126" s="1"/>
  <c r="C13" i="3"/>
  <c r="D126" i="6"/>
  <c r="M90" i="3"/>
  <c r="M55" s="1"/>
  <c r="M53" s="1"/>
  <c r="M106" s="1"/>
  <c r="S19" i="6"/>
  <c r="E19"/>
  <c r="K13" i="3"/>
  <c r="N89" i="6"/>
  <c r="E15" i="3"/>
  <c r="E13" s="1"/>
  <c r="L55"/>
  <c r="L53" s="1"/>
  <c r="L106" s="1"/>
  <c r="E59" i="6"/>
  <c r="C19"/>
  <c r="U19"/>
  <c r="C106" i="3"/>
  <c r="H13"/>
  <c r="J55"/>
  <c r="J53" s="1"/>
  <c r="U68" i="2"/>
  <c r="W68" s="1"/>
  <c r="Y68" s="1"/>
  <c r="N68"/>
  <c r="P68" s="1"/>
  <c r="R68" s="1"/>
  <c r="W122" i="6" l="1"/>
  <c r="Y123"/>
  <c r="Y122" s="1"/>
  <c r="P106"/>
  <c r="R107"/>
  <c r="R106" s="1"/>
  <c r="R61" s="1"/>
  <c r="L126"/>
  <c r="P122"/>
  <c r="R123"/>
  <c r="R122" s="1"/>
  <c r="W89"/>
  <c r="W61" s="1"/>
  <c r="W59" s="1"/>
  <c r="W126" s="1"/>
  <c r="Y100"/>
  <c r="Y89" s="1"/>
  <c r="Y61"/>
  <c r="Y59" s="1"/>
  <c r="Y126" s="1"/>
  <c r="N61"/>
  <c r="N59" s="1"/>
  <c r="N126" s="1"/>
  <c r="I122"/>
  <c r="K124"/>
  <c r="K122" s="1"/>
  <c r="I66"/>
  <c r="I61" s="1"/>
  <c r="K69"/>
  <c r="K66" s="1"/>
  <c r="K61" s="1"/>
  <c r="K59" s="1"/>
  <c r="I21"/>
  <c r="I19" s="1"/>
  <c r="K22"/>
  <c r="K21" s="1"/>
  <c r="K19" s="1"/>
  <c r="G61"/>
  <c r="G59" s="1"/>
  <c r="J106" i="3"/>
  <c r="C126" i="6"/>
  <c r="G21"/>
  <c r="G19" s="1"/>
  <c r="U61"/>
  <c r="U59" s="1"/>
  <c r="U126" s="1"/>
  <c r="S126"/>
  <c r="P61"/>
  <c r="P59" s="1"/>
  <c r="P126" s="1"/>
  <c r="E126"/>
  <c r="E106" i="3"/>
  <c r="F92" i="2"/>
  <c r="E92"/>
  <c r="G102"/>
  <c r="I102" s="1"/>
  <c r="K102" s="1"/>
  <c r="R59" i="6" l="1"/>
  <c r="R126" s="1"/>
  <c r="I59"/>
  <c r="I126" s="1"/>
  <c r="K126"/>
  <c r="G126"/>
  <c r="E107" i="3"/>
  <c r="M92" i="2"/>
  <c r="S92"/>
  <c r="T92"/>
  <c r="L92"/>
  <c r="G84"/>
  <c r="I84" s="1"/>
  <c r="K84" s="1"/>
  <c r="U63"/>
  <c r="W63" s="1"/>
  <c r="Y63" s="1"/>
  <c r="N63"/>
  <c r="P63" s="1"/>
  <c r="R63" s="1"/>
  <c r="G63"/>
  <c r="I63" s="1"/>
  <c r="K63" s="1"/>
  <c r="U84"/>
  <c r="W84" s="1"/>
  <c r="Y84" s="1"/>
  <c r="N84"/>
  <c r="P84" s="1"/>
  <c r="R84" s="1"/>
  <c r="E84"/>
  <c r="T48"/>
  <c r="M48"/>
  <c r="F48"/>
  <c r="G48"/>
  <c r="L75"/>
  <c r="M75"/>
  <c r="S75"/>
  <c r="T75"/>
  <c r="F75"/>
  <c r="F52"/>
  <c r="L52"/>
  <c r="M52"/>
  <c r="S52"/>
  <c r="T52"/>
  <c r="E52"/>
  <c r="U83"/>
  <c r="W83" s="1"/>
  <c r="Y83" s="1"/>
  <c r="N83"/>
  <c r="P83" s="1"/>
  <c r="R83" s="1"/>
  <c r="G83"/>
  <c r="I83" s="1"/>
  <c r="K83" s="1"/>
  <c r="U86"/>
  <c r="W86" s="1"/>
  <c r="Y86" s="1"/>
  <c r="N86"/>
  <c r="P86" s="1"/>
  <c r="R86" s="1"/>
  <c r="G86"/>
  <c r="I86" s="1"/>
  <c r="K86" s="1"/>
  <c r="U85"/>
  <c r="W85" s="1"/>
  <c r="Y85" s="1"/>
  <c r="N85"/>
  <c r="P85" s="1"/>
  <c r="R85" s="1"/>
  <c r="G85"/>
  <c r="I85" s="1"/>
  <c r="K85" s="1"/>
  <c r="E85"/>
  <c r="G66"/>
  <c r="I66" s="1"/>
  <c r="K66" s="1"/>
  <c r="U90"/>
  <c r="W90" s="1"/>
  <c r="Y90" s="1"/>
  <c r="N90"/>
  <c r="P90" s="1"/>
  <c r="R90" s="1"/>
  <c r="G90"/>
  <c r="I90" s="1"/>
  <c r="K90" s="1"/>
  <c r="G67"/>
  <c r="I67" s="1"/>
  <c r="K67" s="1"/>
  <c r="F47" l="1"/>
  <c r="F45" s="1"/>
  <c r="T47"/>
  <c r="M47"/>
  <c r="G68"/>
  <c r="I68" s="1"/>
  <c r="K68" s="1"/>
  <c r="G56"/>
  <c r="I56" s="1"/>
  <c r="K56" s="1"/>
  <c r="U101"/>
  <c r="W101" s="1"/>
  <c r="Y101" s="1"/>
  <c r="U99"/>
  <c r="W99" s="1"/>
  <c r="Y99" s="1"/>
  <c r="U100"/>
  <c r="W100" s="1"/>
  <c r="Y100" s="1"/>
  <c r="U97"/>
  <c r="W97" s="1"/>
  <c r="Y97" s="1"/>
  <c r="U98"/>
  <c r="W98" s="1"/>
  <c r="Y98" s="1"/>
  <c r="U96"/>
  <c r="W96" s="1"/>
  <c r="Y96" s="1"/>
  <c r="U95"/>
  <c r="W95" s="1"/>
  <c r="Y95" s="1"/>
  <c r="U94"/>
  <c r="W94" s="1"/>
  <c r="Y94" s="1"/>
  <c r="U58"/>
  <c r="W58" s="1"/>
  <c r="Y58" s="1"/>
  <c r="Y52" s="1"/>
  <c r="N58"/>
  <c r="P58" s="1"/>
  <c r="R58" s="1"/>
  <c r="R52" s="1"/>
  <c r="G58"/>
  <c r="I58" s="1"/>
  <c r="K58" s="1"/>
  <c r="G61"/>
  <c r="I61" s="1"/>
  <c r="K61" s="1"/>
  <c r="G60"/>
  <c r="I60" s="1"/>
  <c r="K60" s="1"/>
  <c r="G101"/>
  <c r="I101" s="1"/>
  <c r="K101" s="1"/>
  <c r="U55"/>
  <c r="W55" s="1"/>
  <c r="N55"/>
  <c r="G55"/>
  <c r="U93"/>
  <c r="N93"/>
  <c r="G93"/>
  <c r="I93" s="1"/>
  <c r="U87"/>
  <c r="U50"/>
  <c r="U48" s="1"/>
  <c r="U37"/>
  <c r="U34"/>
  <c r="U29"/>
  <c r="U28" s="1"/>
  <c r="U24"/>
  <c r="U23"/>
  <c r="U18"/>
  <c r="U13"/>
  <c r="U10"/>
  <c r="U7"/>
  <c r="N87"/>
  <c r="N50"/>
  <c r="N48" s="1"/>
  <c r="N37"/>
  <c r="N34"/>
  <c r="N29"/>
  <c r="N28" s="1"/>
  <c r="N24"/>
  <c r="N23"/>
  <c r="N18"/>
  <c r="N13"/>
  <c r="N10"/>
  <c r="N7"/>
  <c r="G87"/>
  <c r="G98"/>
  <c r="I98" s="1"/>
  <c r="K98" s="1"/>
  <c r="G99"/>
  <c r="I99" s="1"/>
  <c r="K99" s="1"/>
  <c r="G97"/>
  <c r="I97" s="1"/>
  <c r="K97" s="1"/>
  <c r="G96"/>
  <c r="I96" s="1"/>
  <c r="K96" s="1"/>
  <c r="G94"/>
  <c r="I94" s="1"/>
  <c r="K92" l="1"/>
  <c r="Y92"/>
  <c r="W52"/>
  <c r="N75"/>
  <c r="P87"/>
  <c r="N52"/>
  <c r="P55"/>
  <c r="P52" s="1"/>
  <c r="U75"/>
  <c r="W87"/>
  <c r="U92"/>
  <c r="W93"/>
  <c r="W92" s="1"/>
  <c r="G75"/>
  <c r="I87"/>
  <c r="N92"/>
  <c r="P93"/>
  <c r="P92" s="1"/>
  <c r="G52"/>
  <c r="I55"/>
  <c r="I92"/>
  <c r="M45"/>
  <c r="M112" s="1"/>
  <c r="T45"/>
  <c r="T112" s="1"/>
  <c r="G92"/>
  <c r="U5"/>
  <c r="M107" i="3" s="1"/>
  <c r="G47" i="2"/>
  <c r="G45" s="1"/>
  <c r="N5"/>
  <c r="J107" i="3" s="1"/>
  <c r="N47" i="2"/>
  <c r="U52"/>
  <c r="G37"/>
  <c r="G34"/>
  <c r="G29"/>
  <c r="G28" s="1"/>
  <c r="G24"/>
  <c r="G23" s="1"/>
  <c r="G18"/>
  <c r="G13"/>
  <c r="G10"/>
  <c r="F7"/>
  <c r="F5" s="1"/>
  <c r="F112" s="1"/>
  <c r="P75" l="1"/>
  <c r="R87"/>
  <c r="R75" s="1"/>
  <c r="R47" s="1"/>
  <c r="R45" s="1"/>
  <c r="R112" s="1"/>
  <c r="I75"/>
  <c r="K87"/>
  <c r="K75" s="1"/>
  <c r="W75"/>
  <c r="W47" s="1"/>
  <c r="W45" s="1"/>
  <c r="W112" s="1"/>
  <c r="Y87"/>
  <c r="Y75" s="1"/>
  <c r="Y47" s="1"/>
  <c r="Y45" s="1"/>
  <c r="Y112" s="1"/>
  <c r="I52"/>
  <c r="I47" s="1"/>
  <c r="I45" s="1"/>
  <c r="K55"/>
  <c r="K52" s="1"/>
  <c r="K47" s="1"/>
  <c r="K45" s="1"/>
  <c r="K112" s="1"/>
  <c r="P47"/>
  <c r="P45" s="1"/>
  <c r="P112" s="1"/>
  <c r="U47"/>
  <c r="U45" s="1"/>
  <c r="U112" s="1"/>
  <c r="N45"/>
  <c r="N112" s="1"/>
  <c r="Y114" l="1"/>
  <c r="W114"/>
  <c r="R114"/>
  <c r="P114"/>
  <c r="D7"/>
  <c r="D5" s="1"/>
  <c r="D112" s="1"/>
  <c r="E8"/>
  <c r="E7" l="1"/>
  <c r="G8"/>
  <c r="I8" s="1"/>
  <c r="I7" s="1"/>
  <c r="I5" s="1"/>
  <c r="I112" s="1"/>
  <c r="K114" s="1"/>
  <c r="E85" i="5"/>
  <c r="D85"/>
  <c r="C85"/>
  <c r="E80"/>
  <c r="D80"/>
  <c r="C80"/>
  <c r="E65"/>
  <c r="D65"/>
  <c r="C65"/>
  <c r="E54"/>
  <c r="D54"/>
  <c r="C54"/>
  <c r="E52"/>
  <c r="E50" s="1"/>
  <c r="D52"/>
  <c r="D50" s="1"/>
  <c r="C50"/>
  <c r="E39"/>
  <c r="D39"/>
  <c r="C39"/>
  <c r="E36"/>
  <c r="D36"/>
  <c r="C36"/>
  <c r="E31"/>
  <c r="D31"/>
  <c r="D30" s="1"/>
  <c r="C31"/>
  <c r="C30" s="1"/>
  <c r="E30"/>
  <c r="E26"/>
  <c r="E25" s="1"/>
  <c r="D26"/>
  <c r="D25" s="1"/>
  <c r="C26"/>
  <c r="C25" s="1"/>
  <c r="E20"/>
  <c r="D20"/>
  <c r="C20"/>
  <c r="E15"/>
  <c r="D15"/>
  <c r="C15"/>
  <c r="E12"/>
  <c r="D12"/>
  <c r="C12"/>
  <c r="E9"/>
  <c r="D9"/>
  <c r="C9"/>
  <c r="E7" l="1"/>
  <c r="G7" i="2"/>
  <c r="G5" s="1"/>
  <c r="G112" s="1"/>
  <c r="I114" s="1"/>
  <c r="G107" i="3"/>
  <c r="E49" i="5"/>
  <c r="E47" s="1"/>
  <c r="E88" s="1"/>
  <c r="C49"/>
  <c r="C47" s="1"/>
  <c r="D49"/>
  <c r="D47" s="1"/>
  <c r="C7"/>
  <c r="D7"/>
  <c r="D88" l="1"/>
  <c r="C88"/>
  <c r="E75" i="2"/>
  <c r="E48"/>
  <c r="E37"/>
  <c r="E34"/>
  <c r="E29"/>
  <c r="E28" s="1"/>
  <c r="E24"/>
  <c r="E23" s="1"/>
  <c r="E18"/>
  <c r="E13"/>
  <c r="E10"/>
  <c r="E5" l="1"/>
  <c r="E47"/>
  <c r="E45" s="1"/>
  <c r="E112" l="1"/>
  <c r="G114" s="1"/>
  <c r="C92"/>
  <c r="C75"/>
  <c r="C52"/>
  <c r="S50"/>
  <c r="S48" s="1"/>
  <c r="L50"/>
  <c r="L48" s="1"/>
  <c r="C48"/>
  <c r="S37"/>
  <c r="L37"/>
  <c r="C37"/>
  <c r="S34"/>
  <c r="L34"/>
  <c r="C34"/>
  <c r="S29"/>
  <c r="S28" s="1"/>
  <c r="L29"/>
  <c r="L28" s="1"/>
  <c r="C29"/>
  <c r="C28" s="1"/>
  <c r="S24"/>
  <c r="S23" s="1"/>
  <c r="L24"/>
  <c r="L23" s="1"/>
  <c r="C24"/>
  <c r="C23" s="1"/>
  <c r="S18"/>
  <c r="L18"/>
  <c r="C18"/>
  <c r="S13"/>
  <c r="L13"/>
  <c r="C13"/>
  <c r="S10"/>
  <c r="L10"/>
  <c r="C10"/>
  <c r="S7"/>
  <c r="L7"/>
  <c r="C7"/>
  <c r="L5" l="1"/>
  <c r="C47"/>
  <c r="C45" s="1"/>
  <c r="S47"/>
  <c r="S45" s="1"/>
  <c r="S5"/>
  <c r="L47"/>
  <c r="L45" s="1"/>
  <c r="C5"/>
  <c r="L112" l="1"/>
  <c r="N114" s="1"/>
  <c r="S112"/>
  <c r="U114" s="1"/>
  <c r="C112"/>
</calcChain>
</file>

<file path=xl/sharedStrings.xml><?xml version="1.0" encoding="utf-8"?>
<sst xmlns="http://schemas.openxmlformats.org/spreadsheetml/2006/main" count="899" uniqueCount="176">
  <si>
    <t>Приложение № 1</t>
  </si>
  <si>
    <t>к решению сессии первого созыва Собрания депутатов № __ от 22 декабря 2023 года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</si>
  <si>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</si>
  <si>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</si>
  <si>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</si>
  <si>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</si>
  <si>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</si>
  <si>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</si>
  <si>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</si>
  <si>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</si>
  <si>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</si>
  <si>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</si>
  <si>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</si>
  <si>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</si>
  <si>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</si>
  <si>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</si>
  <si>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</si>
  <si>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</si>
  <si>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</si>
  <si>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</si>
  <si>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</si>
  <si>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</si>
  <si>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</si>
  <si>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</si>
  <si>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</si>
  <si>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</si>
  <si>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</si>
  <si>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</si>
  <si>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</si>
  <si>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</si>
  <si>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</si>
  <si>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</si>
  <si>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</si>
  <si>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</si>
  <si>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</si>
  <si>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</si>
  <si>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</si>
  <si>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</si>
  <si>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</si>
  <si>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</si>
  <si>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</si>
  <si>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</si>
  <si>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</si>
  <si>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</si>
  <si>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</si>
  <si>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</si>
  <si>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</si>
  <si>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</si>
  <si>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</si>
  <si>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</si>
  <si>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</si>
  <si>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</si>
  <si>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</si>
  <si>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</si>
  <si>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</si>
  <si>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</si>
  <si>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</si>
  <si>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</si>
  <si>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</si>
  <si>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</si>
  <si>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</si>
  <si>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</si>
  <si>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</si>
  <si>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</si>
  <si>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</si>
  <si>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</si>
  <si>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</si>
  <si>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</si>
  <si>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</si>
  <si>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</si>
  <si>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</si>
  <si>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</si>
  <si>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</si>
  <si>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</si>
  <si>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</si>
  <si>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</si>
  <si>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>2 02 20302 14 0000 150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</si>
  <si>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</si>
  <si>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</si>
  <si>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</si>
  <si>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</si>
  <si>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</si>
  <si>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</si>
  <si>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</si>
  <si>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</si>
  <si>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</si>
  <si>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</si>
  <si>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</si>
  <si>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</si>
  <si>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</si>
  <si>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</si>
  <si>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</si>
  <si>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</si>
  <si>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</si>
  <si>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</si>
  <si>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</si>
  <si>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</si>
  <si>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</si>
  <si>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</si>
  <si>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</si>
  <si>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</si>
  <si>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</si>
  <si>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</si>
  <si>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</si>
  <si>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</si>
  <si>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</si>
  <si>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</si>
  <si>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</si>
  <si>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</si>
  <si>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</si>
  <si>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</si>
  <si>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</si>
  <si>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</si>
  <si>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</si>
  <si>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</si>
  <si>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</si>
  <si>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</si>
  <si>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</si>
  <si>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</si>
  <si>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</si>
  <si>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 Средства, поступающие от публично-правовой компании «Фонд развития территорий»</t>
  </si>
  <si>
    <t>Субсидии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</si>
  <si>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</si>
  <si>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</si>
  <si>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</si>
  <si>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к решению сессии первого созыва Собрания депутатов № __ от 26 января  2024 года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</si>
  <si>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</si>
  <si>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</si>
  <si>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</si>
  <si>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26.01.</t>
  </si>
  <si>
    <t>16.02.</t>
  </si>
  <si>
    <t>к решению сессии первого созыва Собрания депутатов № __ от 16 февраля  2024 года</t>
  </si>
  <si>
    <t>Иные межбюджетные трансферты на развитие инициативных проектов в рамках регионального проекта "Комфортное Поморье"</t>
  </si>
  <si>
    <t>Иные межбюджетные трансферты на обеспечение мероприятий по организации предоставления дополнительных мер социальной поддержки семьям граждан, принимающим участие в СВО</t>
  </si>
  <si>
    <t>2 02 45 179 14 0000 150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</si>
  <si>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</si>
  <si>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Субсидии на софинансирование расходов по созданию условий для обеспечения поселений  услугами торговли </t>
  </si>
  <si>
    <t>Иные межбюджетные трансферты на обновление материально-технической базы для организаций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</si>
  <si>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на обеспечение комплексного развития сельских территорий (осуществлено строительство(приобретение) жилья гражданами,проживающими на сельских территориях</t>
  </si>
  <si>
    <t>Иные межбюджетные траснферты нв реализацию мероприятий по модернизации школьных систем образования  (ОБ)</t>
  </si>
  <si>
    <t>Иные межбюджетные трансферты на реализацию мероприятий по модернизации школьных систем образования (ФБ)</t>
  </si>
  <si>
    <t>2 02 25467 14 0000 150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</si>
  <si>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</si>
  <si>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и столовых муниципальных образовательных организаций</t>
  </si>
  <si>
    <t>Субсидии бюджетам на проведение комплексных кадастровых работ ( без федерального софинансирования)</t>
  </si>
  <si>
    <t>2 02 25 467 14 0000 150</t>
  </si>
  <si>
    <t>Иные межбюджетные трансферты на модернизацию (строительство) котельных на твердом биотопливе, источником финансовго обеспечения которых является специальный казначейский кредит</t>
  </si>
  <si>
    <t>2 02 27576 14 0000 150</t>
  </si>
  <si>
    <t>Прочие безвозмездные поступления в бюджеты муниципальных округов (реализация проекта "Комплексное развитие с.Березник" ГП "Комплексное развитие сельских территорий" )</t>
  </si>
  <si>
    <t>22.03</t>
  </si>
  <si>
    <t>22.03.</t>
  </si>
  <si>
    <t>к решению сессии первого созыва Собрания депутатов № __ от 22 марта  2024 года</t>
  </si>
  <si>
    <t>2 02 20 299 14 0000 150</t>
  </si>
  <si>
    <t>2 02 20 302 14 0000 150</t>
  </si>
  <si>
    <t>Субсидии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</si>
  <si>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Субсидии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</si>
  <si>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2 02 25497 14 0000 150</t>
  </si>
  <si>
    <t>Субсидии на реализацию мероприятий по обеспечению жильем молодых семей (строительство жилья)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</si>
  <si>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территорий)</t>
  </si>
  <si>
    <t>2 02 25555 14 0000 150</t>
  </si>
  <si>
    <t>Субсидии на обеспечение комплексного развития сельских территорий (реализация мероприятий по благоустройству сельских территорий)</t>
  </si>
  <si>
    <t>Иные межбюджетные трансферты на мероприятия по проведению информационного освещения всероссийского онлайн-голосования по выбору общественных территорий,планируемых к благоустройству на территории АО</t>
  </si>
  <si>
    <t>2 02 25 497 14 0000 150</t>
  </si>
  <si>
    <t>Субсидии на разработку проектно-сметной документации на строительство и реконструкцию (модернизацию) объектов водоотведения</t>
  </si>
  <si>
    <t>24.05.</t>
  </si>
  <si>
    <t>24.05</t>
  </si>
  <si>
    <t>Субсидии на обепечение условий для развития кадрового потенциала муниципальных образовательных организаций АО</t>
  </si>
  <si>
    <t>Субсидии на разработку проектно-сметной документации на строительство и реконструкцию (модернизацию) объектов питьевого водоснабжения</t>
  </si>
  <si>
    <t>Иные межбюджетные трансфрты из резервного фонда Правительства Архангельской области . Проведение ремонтных работ в МБОУ "Устьянская СОШ"</t>
  </si>
  <si>
    <t>Иные межбюджетные трансферты из резервного фонда Правительства Архангельской области. Проведение ремонтных работ в МБОУ "Устьянская СОШ"</t>
  </si>
  <si>
    <t>Субсидии на 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</si>
  <si>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 xml:space="preserve">Иной МБТ на оснащение (обновление МТБ)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(Созданы новые места в образовательных организациях различных типов для реализации дополнительных общеразвивающих программ всех направленностей) </t>
  </si>
  <si>
    <t>к решению сессии первого созыва Собрания депутатов № __ от 24 мая  2024 года</t>
  </si>
  <si>
    <t>Иные межбюджетные трансферты на реализацию мероприятий по антитеррористической защищенности муниципальных образовательных организаций АО (вне рамок регионального проекта "Модернизация школьных систем образования в АО")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</si>
  <si>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</si>
  <si>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Субвенции 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</si>
</sst>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8" fillId="0" borderId="10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3" fillId="0" borderId="0" xfId="0" applyFont="1" applyFill="1"/>
    <xf numFmtId="164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7" fillId="0" borderId="10" xfId="0" applyFont="1" applyFill="1" applyBorder="1" applyAlignment="1">
      <alignment horizontal="left" vertical="center" wrapText="1" indent="2"/>
    </xf>
    <xf numFmtId="164" fontId="1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7" xfId="0" applyFont="1" applyFill="1" applyBorder="1" applyAlignment="1">
      <alignment horizontal="left" vertical="center" wrapText="1" indent="2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/>
    <xf numFmtId="4" fontId="18" fillId="0" borderId="0" xfId="0" applyNumberFormat="1" applyFont="1" applyFill="1"/>
    <xf numFmtId="4" fontId="2" fillId="0" borderId="0" xfId="0" applyNumberFormat="1" applyFont="1" applyFill="1"/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14" xfId="1" applyNumberFormat="1" applyFont="1" applyFill="1" applyBorder="1" applyAlignment="1">
      <alignment horizontal="right" vertical="center"/>
    </xf>
    <xf numFmtId="10" fontId="10" fillId="0" borderId="13" xfId="1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21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inden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24" fillId="0" borderId="0" xfId="0" applyNumberFormat="1" applyFont="1" applyFill="1"/>
    <xf numFmtId="4" fontId="8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" fontId="26" fillId="0" borderId="0" xfId="0" applyNumberFormat="1" applyFont="1" applyFill="1"/>
    <xf numFmtId="4" fontId="2" fillId="2" borderId="0" xfId="0" applyNumberFormat="1" applyFont="1" applyFill="1"/>
    <xf numFmtId="4" fontId="17" fillId="2" borderId="0" xfId="0" applyNumberFormat="1" applyFont="1" applyFill="1"/>
    <xf numFmtId="0" fontId="8" fillId="2" borderId="0" xfId="0" applyFont="1" applyFill="1"/>
    <xf numFmtId="4" fontId="24" fillId="2" borderId="0" xfId="0" applyNumberFormat="1" applyFont="1" applyFill="1"/>
    <xf numFmtId="4" fontId="8" fillId="2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4" fontId="26" fillId="2" borderId="0" xfId="0" applyNumberFormat="1" applyFont="1" applyFill="1"/>
    <xf numFmtId="0" fontId="27" fillId="2" borderId="0" xfId="0" applyFont="1" applyFill="1" applyBorder="1" applyAlignment="1">
      <alignment vertical="center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6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vertical="center" wrapText="1"/>
      <protection locked="0"/>
    </xf>
    <xf numFmtId="2" fontId="13" fillId="0" borderId="0" xfId="0" applyNumberFormat="1" applyFont="1" applyFill="1" applyProtection="1">
      <protection locked="0"/>
    </xf>
    <xf numFmtId="2" fontId="22" fillId="0" borderId="0" xfId="0" applyNumberFormat="1" applyFont="1" applyFill="1" applyAlignment="1" applyProtection="1">
      <alignment vertical="center" wrapText="1"/>
      <protection locked="0"/>
    </xf>
    <xf numFmtId="2" fontId="8" fillId="0" borderId="0" xfId="0" applyNumberFormat="1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vertical="center" wrapText="1"/>
      <protection locked="0"/>
    </xf>
    <xf numFmtId="4" fontId="13" fillId="0" borderId="0" xfId="0" applyNumberFormat="1" applyFont="1" applyFill="1" applyProtection="1">
      <protection locked="0"/>
    </xf>
    <xf numFmtId="4" fontId="22" fillId="0" borderId="0" xfId="0" applyNumberFormat="1" applyFont="1" applyFill="1" applyAlignment="1" applyProtection="1">
      <alignment vertical="center" wrapText="1"/>
      <protection locked="0"/>
    </xf>
    <xf numFmtId="4" fontId="8" fillId="0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right" vertical="center"/>
    </xf>
    <xf numFmtId="4" fontId="8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/>
    </xf>
    <xf numFmtId="43" fontId="9" fillId="0" borderId="21" xfId="0" applyNumberFormat="1" applyFont="1" applyFill="1" applyBorder="1" applyAlignment="1"/>
    <xf numFmtId="43" fontId="10" fillId="2" borderId="21" xfId="0" applyNumberFormat="1" applyFont="1" applyFill="1" applyBorder="1" applyAlignment="1"/>
    <xf numFmtId="43" fontId="9" fillId="2" borderId="21" xfId="0" applyNumberFormat="1" applyFont="1" applyFill="1" applyBorder="1" applyAlignment="1"/>
    <xf numFmtId="4" fontId="10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indent="1"/>
    </xf>
    <xf numFmtId="3" fontId="10" fillId="0" borderId="21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10" fontId="10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8" fillId="0" borderId="21" xfId="1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/>
    </xf>
    <xf numFmtId="4" fontId="12" fillId="0" borderId="21" xfId="0" applyNumberFormat="1" applyFont="1" applyFill="1" applyBorder="1" applyAlignment="1">
      <alignment horizontal="right" vertical="center"/>
    </xf>
    <xf numFmtId="4" fontId="23" fillId="2" borderId="21" xfId="0" applyNumberFormat="1" applyFont="1" applyFill="1" applyBorder="1" applyAlignment="1">
      <alignment horizontal="right" vertical="center"/>
    </xf>
    <xf numFmtId="4" fontId="12" fillId="2" borderId="2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 wrapText="1" indent="1"/>
    </xf>
    <xf numFmtId="164" fontId="14" fillId="0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right" vertical="center"/>
    </xf>
    <xf numFmtId="4" fontId="15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right" vertical="center"/>
    </xf>
    <xf numFmtId="4" fontId="16" fillId="2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2"/>
    </xf>
    <xf numFmtId="0" fontId="17" fillId="0" borderId="21" xfId="0" applyFont="1" applyFill="1" applyBorder="1" applyAlignment="1">
      <alignment horizontal="left" vertical="center" wrapText="1" indent="2"/>
    </xf>
    <xf numFmtId="164" fontId="17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 indent="2"/>
    </xf>
    <xf numFmtId="164" fontId="2" fillId="2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2"/>
    </xf>
    <xf numFmtId="0" fontId="8" fillId="0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 indent="1"/>
    </xf>
    <xf numFmtId="4" fontId="8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4" fontId="6" fillId="0" borderId="0" xfId="0" applyNumberFormat="1" applyFont="1" applyFill="1"/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13" fillId="0" borderId="0" xfId="0" applyNumberFormat="1" applyFont="1" applyFill="1"/>
    <xf numFmtId="4" fontId="22" fillId="0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8" fillId="0" borderId="2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 wrapText="1"/>
    </xf>
    <xf numFmtId="0" fontId="2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6" fillId="2" borderId="21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/>
    </xf>
    <xf numFmtId="4" fontId="10" fillId="2" borderId="21" xfId="1" applyNumberFormat="1" applyFont="1" applyFill="1" applyBorder="1" applyAlignment="1">
      <alignment horizontal="right" vertical="center"/>
    </xf>
    <xf numFmtId="10" fontId="10" fillId="2" borderId="21" xfId="1" applyNumberFormat="1" applyFont="1" applyFill="1" applyBorder="1" applyAlignment="1">
      <alignment horizontal="right" vertical="center"/>
    </xf>
    <xf numFmtId="4" fontId="2" fillId="2" borderId="21" xfId="1" applyNumberFormat="1" applyFont="1" applyFill="1" applyBorder="1" applyAlignment="1">
      <alignment horizontal="right" vertical="center"/>
    </xf>
    <xf numFmtId="4" fontId="8" fillId="2" borderId="21" xfId="1" applyNumberFormat="1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 vertical="center" wrapText="1"/>
    </xf>
    <xf numFmtId="49" fontId="2" fillId="2" borderId="21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164" fontId="17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Protection="1">
      <protection locked="0"/>
    </xf>
    <xf numFmtId="4" fontId="28" fillId="2" borderId="0" xfId="0" applyNumberFormat="1" applyFont="1" applyFill="1" applyProtection="1">
      <protection locked="0"/>
    </xf>
    <xf numFmtId="4" fontId="29" fillId="2" borderId="0" xfId="0" applyNumberFormat="1" applyFont="1" applyFill="1" applyProtection="1">
      <protection locked="0"/>
    </xf>
    <xf numFmtId="4" fontId="30" fillId="2" borderId="0" xfId="0" applyNumberFormat="1" applyFont="1" applyFill="1" applyAlignment="1" applyProtection="1">
      <alignment vertical="center" wrapText="1"/>
      <protection locked="0"/>
    </xf>
    <xf numFmtId="4" fontId="18" fillId="2" borderId="0" xfId="0" applyNumberFormat="1" applyFont="1" applyFill="1" applyAlignment="1" applyProtection="1">
      <alignment vertical="center"/>
      <protection locked="0"/>
    </xf>
    <xf numFmtId="4" fontId="31" fillId="2" borderId="0" xfId="0" applyNumberFormat="1" applyFont="1" applyFill="1" applyAlignment="1" applyProtection="1">
      <alignment vertical="center" wrapText="1"/>
      <protection locked="0"/>
    </xf>
    <xf numFmtId="4" fontId="26" fillId="2" borderId="0" xfId="0" applyNumberFormat="1" applyFont="1" applyFill="1" applyProtection="1">
      <protection locked="0"/>
    </xf>
    <xf numFmtId="4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 indent="2"/>
    </xf>
    <xf numFmtId="4" fontId="18" fillId="0" borderId="0" xfId="0" applyNumberFormat="1" applyFont="1" applyFill="1" applyProtection="1">
      <protection locked="0"/>
    </xf>
    <xf numFmtId="4" fontId="28" fillId="0" borderId="0" xfId="0" applyNumberFormat="1" applyFont="1" applyFill="1" applyProtection="1">
      <protection locked="0"/>
    </xf>
    <xf numFmtId="4" fontId="29" fillId="0" borderId="0" xfId="0" applyNumberFormat="1" applyFont="1" applyFill="1" applyProtection="1">
      <protection locked="0"/>
    </xf>
    <xf numFmtId="4" fontId="30" fillId="0" borderId="0" xfId="0" applyNumberFormat="1" applyFont="1" applyFill="1" applyAlignment="1" applyProtection="1">
      <alignment vertical="center" wrapText="1"/>
      <protection locked="0"/>
    </xf>
    <xf numFmtId="4" fontId="31" fillId="0" borderId="0" xfId="0" applyNumberFormat="1" applyFont="1" applyFill="1" applyAlignment="1" applyProtection="1">
      <alignment vertical="center" wrapText="1"/>
      <protection locked="0"/>
    </xf>
    <xf numFmtId="4" fontId="26" fillId="0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opLeftCell="A79" workbookViewId="0">
      <selection activeCell="D50" sqref="D50"/>
    </sheetView>
  </sheetViews>
  <sheetFormatPr defaultColWidth="9.109375" defaultRowHeight="13.2"/>
  <cols>
    <col min="1" max="1" width="46.33203125" style="1" customWidth="1"/>
    <col min="2" max="2" width="20.33203125" style="82" customWidth="1"/>
    <col min="3" max="3" width="15.5546875" style="1" customWidth="1"/>
    <col min="4" max="4" width="14.5546875" style="1" customWidth="1"/>
    <col min="5" max="5" width="15.33203125" style="1" customWidth="1"/>
    <col min="6" max="6" width="11.88671875" style="3" customWidth="1"/>
    <col min="7" max="16384" width="9.109375" style="1"/>
  </cols>
  <sheetData>
    <row r="1" spans="1:6">
      <c r="D1" s="225" t="s">
        <v>0</v>
      </c>
      <c r="E1" s="225"/>
      <c r="F1" s="77"/>
    </row>
    <row r="2" spans="1:6" ht="33" customHeight="1">
      <c r="C2" s="226" t="s">
        <v>1</v>
      </c>
      <c r="D2" s="226"/>
      <c r="E2" s="226"/>
      <c r="F2" s="77"/>
    </row>
    <row r="3" spans="1:6" s="79" customFormat="1" ht="43.95" customHeight="1">
      <c r="A3" s="227" t="s">
        <v>2</v>
      </c>
      <c r="B3" s="227"/>
      <c r="C3" s="228"/>
      <c r="D3" s="228"/>
      <c r="E3" s="228"/>
      <c r="F3" s="78"/>
    </row>
    <row r="4" spans="1:6" ht="21.75" customHeight="1">
      <c r="A4" s="229" t="s">
        <v>3</v>
      </c>
      <c r="B4" s="229" t="s">
        <v>4</v>
      </c>
      <c r="C4" s="231" t="s">
        <v>5</v>
      </c>
      <c r="D4" s="232"/>
      <c r="E4" s="233"/>
    </row>
    <row r="5" spans="1:6" ht="30" customHeight="1">
      <c r="A5" s="230"/>
      <c r="B5" s="230"/>
      <c r="C5" s="4" t="s">
        <v>6</v>
      </c>
      <c r="D5" s="5" t="s">
        <v>7</v>
      </c>
      <c r="E5" s="6" t="s">
        <v>8</v>
      </c>
    </row>
    <row r="6" spans="1:6" s="13" customFormat="1" ht="1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/>
    </row>
    <row r="7" spans="1:6" s="17" customFormat="1">
      <c r="A7" s="14" t="s">
        <v>9</v>
      </c>
      <c r="B7" s="15" t="s">
        <v>10</v>
      </c>
      <c r="C7" s="16">
        <f>C9+C12+C15+C20+C25+C30+C34+C36+C39+C43+C45</f>
        <v>416587440</v>
      </c>
      <c r="D7" s="59">
        <f>D9+D12+D15+D20+D25+D30+D34+D36+D39+D43+D45</f>
        <v>428404557</v>
      </c>
      <c r="E7" s="60">
        <f>E9+E12+E15+E20+E25+E30+E34+E36+E39+E43+E45</f>
        <v>438630740</v>
      </c>
      <c r="F7" s="3"/>
    </row>
    <row r="8" spans="1:6" s="17" customFormat="1">
      <c r="A8" s="14"/>
      <c r="B8" s="18"/>
      <c r="C8" s="19"/>
      <c r="D8" s="61"/>
      <c r="E8" s="62"/>
      <c r="F8" s="3"/>
    </row>
    <row r="9" spans="1:6" s="17" customFormat="1">
      <c r="A9" s="20" t="s">
        <v>11</v>
      </c>
      <c r="B9" s="21" t="s">
        <v>12</v>
      </c>
      <c r="C9" s="22">
        <f>C10</f>
        <v>285638123</v>
      </c>
      <c r="D9" s="26">
        <f>D10</f>
        <v>298387792</v>
      </c>
      <c r="E9" s="27">
        <f>E10</f>
        <v>306680483</v>
      </c>
      <c r="F9" s="3"/>
    </row>
    <row r="10" spans="1:6" s="17" customFormat="1">
      <c r="A10" s="23" t="s">
        <v>13</v>
      </c>
      <c r="B10" s="21" t="s">
        <v>14</v>
      </c>
      <c r="C10" s="22">
        <v>285638123</v>
      </c>
      <c r="D10" s="26">
        <v>298387792</v>
      </c>
      <c r="E10" s="27">
        <v>306680483</v>
      </c>
      <c r="F10" s="3"/>
    </row>
    <row r="11" spans="1:6" s="17" customFormat="1">
      <c r="A11" s="23"/>
      <c r="B11" s="21"/>
      <c r="C11" s="24"/>
      <c r="D11" s="63"/>
      <c r="E11" s="64"/>
      <c r="F11" s="3"/>
    </row>
    <row r="12" spans="1:6" s="17" customFormat="1" ht="39.6">
      <c r="A12" s="25" t="s">
        <v>15</v>
      </c>
      <c r="B12" s="21" t="s">
        <v>16</v>
      </c>
      <c r="C12" s="22">
        <f>C13</f>
        <v>41304236</v>
      </c>
      <c r="D12" s="26">
        <f>D13</f>
        <v>42231315</v>
      </c>
      <c r="E12" s="27">
        <f>E13</f>
        <v>43293645</v>
      </c>
      <c r="F12" s="3"/>
    </row>
    <row r="13" spans="1:6" s="17" customFormat="1" ht="26.4">
      <c r="A13" s="23" t="s">
        <v>17</v>
      </c>
      <c r="B13" s="21" t="s">
        <v>18</v>
      </c>
      <c r="C13" s="22">
        <v>41304236</v>
      </c>
      <c r="D13" s="26">
        <v>42231315</v>
      </c>
      <c r="E13" s="27">
        <v>43293645</v>
      </c>
      <c r="F13" s="3"/>
    </row>
    <row r="14" spans="1:6" s="17" customFormat="1">
      <c r="A14" s="23"/>
      <c r="B14" s="21"/>
      <c r="C14" s="24"/>
      <c r="D14" s="63"/>
      <c r="E14" s="64"/>
      <c r="F14" s="3"/>
    </row>
    <row r="15" spans="1:6" s="17" customFormat="1">
      <c r="A15" s="25" t="s">
        <v>19</v>
      </c>
      <c r="B15" s="21" t="s">
        <v>20</v>
      </c>
      <c r="C15" s="22">
        <f>C16+C17+C18</f>
        <v>20101000</v>
      </c>
      <c r="D15" s="26">
        <f>D16+D17+D18</f>
        <v>20822626</v>
      </c>
      <c r="E15" s="27">
        <f>E16+E17+E18</f>
        <v>21668025</v>
      </c>
      <c r="F15" s="3"/>
    </row>
    <row r="16" spans="1:6" s="17" customFormat="1" ht="26.4">
      <c r="A16" s="23" t="s">
        <v>21</v>
      </c>
      <c r="B16" s="21" t="s">
        <v>22</v>
      </c>
      <c r="C16" s="22">
        <v>16968000</v>
      </c>
      <c r="D16" s="26">
        <v>17577151</v>
      </c>
      <c r="E16" s="27">
        <v>18290783</v>
      </c>
      <c r="F16" s="3"/>
    </row>
    <row r="17" spans="1:6" s="17" customFormat="1">
      <c r="A17" s="23" t="s">
        <v>23</v>
      </c>
      <c r="B17" s="21" t="s">
        <v>24</v>
      </c>
      <c r="C17" s="22">
        <v>9000</v>
      </c>
      <c r="D17" s="26">
        <v>9323</v>
      </c>
      <c r="E17" s="27">
        <v>9702</v>
      </c>
      <c r="F17" s="3"/>
    </row>
    <row r="18" spans="1:6" s="17" customFormat="1" ht="26.4">
      <c r="A18" s="23" t="s">
        <v>25</v>
      </c>
      <c r="B18" s="21" t="s">
        <v>26</v>
      </c>
      <c r="C18" s="22">
        <v>3124000</v>
      </c>
      <c r="D18" s="26">
        <v>3236152</v>
      </c>
      <c r="E18" s="27">
        <v>3367540</v>
      </c>
      <c r="F18" s="3"/>
    </row>
    <row r="19" spans="1:6" s="17" customFormat="1">
      <c r="A19" s="23"/>
      <c r="B19" s="21"/>
      <c r="C19" s="22"/>
      <c r="D19" s="63"/>
      <c r="E19" s="64"/>
      <c r="F19" s="3"/>
    </row>
    <row r="20" spans="1:6" s="17" customFormat="1">
      <c r="A20" s="25" t="s">
        <v>27</v>
      </c>
      <c r="B20" s="21" t="s">
        <v>28</v>
      </c>
      <c r="C20" s="22">
        <f>C21+C22+C23</f>
        <v>42074925</v>
      </c>
      <c r="D20" s="26">
        <f>D21+D22+D23</f>
        <v>39788668</v>
      </c>
      <c r="E20" s="27">
        <f>E21+E22+E23</f>
        <v>39768431</v>
      </c>
      <c r="F20" s="3"/>
    </row>
    <row r="21" spans="1:6" s="17" customFormat="1">
      <c r="A21" s="23" t="s">
        <v>29</v>
      </c>
      <c r="B21" s="21" t="s">
        <v>30</v>
      </c>
      <c r="C21" s="22">
        <v>8032000</v>
      </c>
      <c r="D21" s="65">
        <v>5766000</v>
      </c>
      <c r="E21" s="66">
        <v>5766000</v>
      </c>
      <c r="F21" s="3"/>
    </row>
    <row r="22" spans="1:6" s="17" customFormat="1">
      <c r="A22" s="23" t="s">
        <v>31</v>
      </c>
      <c r="B22" s="28" t="s">
        <v>32</v>
      </c>
      <c r="C22" s="22">
        <v>20256925</v>
      </c>
      <c r="D22" s="65">
        <v>20236668</v>
      </c>
      <c r="E22" s="66">
        <v>20216431</v>
      </c>
      <c r="F22" s="3"/>
    </row>
    <row r="23" spans="1:6" s="17" customFormat="1">
      <c r="A23" s="23" t="s">
        <v>33</v>
      </c>
      <c r="B23" s="21" t="s">
        <v>34</v>
      </c>
      <c r="C23" s="22">
        <v>13786000</v>
      </c>
      <c r="D23" s="65">
        <v>13786000</v>
      </c>
      <c r="E23" s="66">
        <v>13786000</v>
      </c>
      <c r="F23" s="3"/>
    </row>
    <row r="24" spans="1:6" s="17" customFormat="1" ht="13.8">
      <c r="A24" s="23"/>
      <c r="B24" s="21"/>
      <c r="C24" s="29"/>
      <c r="D24" s="63"/>
      <c r="E24" s="64"/>
      <c r="F24" s="3"/>
    </row>
    <row r="25" spans="1:6" s="17" customFormat="1">
      <c r="A25" s="25" t="s">
        <v>35</v>
      </c>
      <c r="B25" s="21" t="s">
        <v>36</v>
      </c>
      <c r="C25" s="22">
        <f>C26+C27+C28</f>
        <v>3031000</v>
      </c>
      <c r="D25" s="26">
        <f>D26+D27+D28</f>
        <v>3122000</v>
      </c>
      <c r="E25" s="27">
        <f>E26+E27+E28</f>
        <v>3229000</v>
      </c>
      <c r="F25" s="3"/>
    </row>
    <row r="26" spans="1:6" s="17" customFormat="1" ht="39.6">
      <c r="A26" s="23" t="s">
        <v>37</v>
      </c>
      <c r="B26" s="21" t="s">
        <v>38</v>
      </c>
      <c r="C26" s="22">
        <f>3031000-C27-C28</f>
        <v>2406000</v>
      </c>
      <c r="D26" s="26">
        <f>3122000-D27-D28</f>
        <v>2502000</v>
      </c>
      <c r="E26" s="27">
        <f>3229000-E27-E28</f>
        <v>2579000</v>
      </c>
      <c r="F26" s="3"/>
    </row>
    <row r="27" spans="1:6" s="17" customFormat="1" ht="52.8">
      <c r="A27" s="23" t="s">
        <v>39</v>
      </c>
      <c r="B27" s="21" t="s">
        <v>40</v>
      </c>
      <c r="C27" s="22">
        <v>125000</v>
      </c>
      <c r="D27" s="26">
        <v>120000</v>
      </c>
      <c r="E27" s="27">
        <v>150000</v>
      </c>
      <c r="F27" s="3"/>
    </row>
    <row r="28" spans="1:6" s="17" customFormat="1" ht="39.6">
      <c r="A28" s="23" t="s">
        <v>41</v>
      </c>
      <c r="B28" s="18" t="s">
        <v>42</v>
      </c>
      <c r="C28" s="30">
        <v>500000</v>
      </c>
      <c r="D28" s="26">
        <v>500000</v>
      </c>
      <c r="E28" s="27">
        <v>500000</v>
      </c>
      <c r="F28" s="3"/>
    </row>
    <row r="29" spans="1:6" s="17" customFormat="1" ht="13.8">
      <c r="A29" s="23"/>
      <c r="B29" s="21"/>
      <c r="C29" s="29"/>
      <c r="D29" s="63"/>
      <c r="E29" s="64"/>
      <c r="F29" s="3"/>
    </row>
    <row r="30" spans="1:6" s="17" customFormat="1" ht="39.6">
      <c r="A30" s="20" t="s">
        <v>43</v>
      </c>
      <c r="B30" s="21" t="s">
        <v>44</v>
      </c>
      <c r="C30" s="22">
        <f>C31+C32</f>
        <v>20237000</v>
      </c>
      <c r="D30" s="26">
        <f>D31+D32</f>
        <v>20205000</v>
      </c>
      <c r="E30" s="27">
        <f>E31+E32</f>
        <v>20205000</v>
      </c>
      <c r="F30" s="3"/>
    </row>
    <row r="31" spans="1:6" ht="92.4">
      <c r="A31" s="23" t="s">
        <v>45</v>
      </c>
      <c r="B31" s="21" t="s">
        <v>46</v>
      </c>
      <c r="C31" s="22">
        <f>7300000+1100000+1803000</f>
        <v>10203000</v>
      </c>
      <c r="D31" s="26">
        <f>7300000+1100000+1771000</f>
        <v>10171000</v>
      </c>
      <c r="E31" s="27">
        <f>7300000+1100000+1771000</f>
        <v>10171000</v>
      </c>
    </row>
    <row r="32" spans="1:6" ht="79.2">
      <c r="A32" s="31" t="s">
        <v>47</v>
      </c>
      <c r="B32" s="21" t="s">
        <v>48</v>
      </c>
      <c r="C32" s="22">
        <v>10034000</v>
      </c>
      <c r="D32" s="67">
        <v>10034000</v>
      </c>
      <c r="E32" s="27">
        <v>10034000</v>
      </c>
    </row>
    <row r="33" spans="1:6">
      <c r="A33" s="31"/>
      <c r="B33" s="21"/>
      <c r="C33" s="22"/>
      <c r="D33" s="63"/>
      <c r="E33" s="64"/>
      <c r="F33" s="32"/>
    </row>
    <row r="34" spans="1:6" ht="26.4">
      <c r="A34" s="25" t="s">
        <v>49</v>
      </c>
      <c r="B34" s="21" t="s">
        <v>50</v>
      </c>
      <c r="C34" s="22">
        <v>315156</v>
      </c>
      <c r="D34" s="26">
        <v>315156</v>
      </c>
      <c r="E34" s="27">
        <v>315156</v>
      </c>
      <c r="F34" s="33"/>
    </row>
    <row r="35" spans="1:6">
      <c r="A35" s="23"/>
      <c r="B35" s="21"/>
      <c r="C35" s="22"/>
      <c r="D35" s="26"/>
      <c r="E35" s="27"/>
      <c r="F35" s="32"/>
    </row>
    <row r="36" spans="1:6" s="34" customFormat="1" ht="26.4">
      <c r="A36" s="25" t="s">
        <v>51</v>
      </c>
      <c r="B36" s="21" t="s">
        <v>52</v>
      </c>
      <c r="C36" s="22">
        <f>C37</f>
        <v>200000</v>
      </c>
      <c r="D36" s="26">
        <f>D37</f>
        <v>200000</v>
      </c>
      <c r="E36" s="27">
        <f>E37</f>
        <v>200000</v>
      </c>
      <c r="F36" s="3"/>
    </row>
    <row r="37" spans="1:6" s="34" customFormat="1">
      <c r="A37" s="23" t="s">
        <v>53</v>
      </c>
      <c r="B37" s="21" t="s">
        <v>54</v>
      </c>
      <c r="C37" s="22">
        <v>200000</v>
      </c>
      <c r="D37" s="26">
        <v>200000</v>
      </c>
      <c r="E37" s="27">
        <v>200000</v>
      </c>
      <c r="F37" s="3"/>
    </row>
    <row r="38" spans="1:6" s="34" customFormat="1">
      <c r="A38" s="23"/>
      <c r="B38" s="21"/>
      <c r="C38" s="22"/>
      <c r="D38" s="26"/>
      <c r="E38" s="27"/>
      <c r="F38" s="3"/>
    </row>
    <row r="39" spans="1:6" s="34" customFormat="1" ht="26.4">
      <c r="A39" s="25" t="s">
        <v>55</v>
      </c>
      <c r="B39" s="21" t="s">
        <v>56</v>
      </c>
      <c r="C39" s="22">
        <f>C40+C41</f>
        <v>1595000</v>
      </c>
      <c r="D39" s="26">
        <f>D40+D41</f>
        <v>1241000</v>
      </c>
      <c r="E39" s="27">
        <f>E40+E41</f>
        <v>1180000</v>
      </c>
      <c r="F39" s="3"/>
    </row>
    <row r="40" spans="1:6" s="34" customFormat="1" ht="79.2">
      <c r="A40" s="23" t="s">
        <v>57</v>
      </c>
      <c r="B40" s="21" t="s">
        <v>58</v>
      </c>
      <c r="C40" s="22">
        <v>595000</v>
      </c>
      <c r="D40" s="26">
        <v>241000</v>
      </c>
      <c r="E40" s="27">
        <v>180000</v>
      </c>
      <c r="F40" s="33"/>
    </row>
    <row r="41" spans="1:6" s="34" customFormat="1" ht="39.6">
      <c r="A41" s="23" t="s">
        <v>59</v>
      </c>
      <c r="B41" s="21" t="s">
        <v>60</v>
      </c>
      <c r="C41" s="22">
        <v>1000000</v>
      </c>
      <c r="D41" s="26">
        <v>1000000</v>
      </c>
      <c r="E41" s="27">
        <v>1000000</v>
      </c>
      <c r="F41" s="33"/>
    </row>
    <row r="42" spans="1:6" s="34" customFormat="1">
      <c r="A42" s="23"/>
      <c r="B42" s="21"/>
      <c r="C42" s="22"/>
      <c r="D42" s="63"/>
      <c r="E42" s="64"/>
      <c r="F42" s="3"/>
    </row>
    <row r="43" spans="1:6" s="34" customFormat="1">
      <c r="A43" s="25" t="s">
        <v>61</v>
      </c>
      <c r="B43" s="21" t="s">
        <v>62</v>
      </c>
      <c r="C43" s="22">
        <v>2091000</v>
      </c>
      <c r="D43" s="26">
        <v>2091000</v>
      </c>
      <c r="E43" s="27">
        <v>2091000</v>
      </c>
      <c r="F43" s="3"/>
    </row>
    <row r="44" spans="1:6" s="34" customFormat="1">
      <c r="A44" s="23"/>
      <c r="B44" s="21"/>
      <c r="C44" s="22"/>
      <c r="D44" s="26"/>
      <c r="E44" s="27"/>
      <c r="F44" s="3"/>
    </row>
    <row r="45" spans="1:6" s="34" customFormat="1">
      <c r="A45" s="25" t="s">
        <v>63</v>
      </c>
      <c r="B45" s="21" t="s">
        <v>64</v>
      </c>
      <c r="C45" s="22">
        <v>0</v>
      </c>
      <c r="D45" s="26">
        <v>0</v>
      </c>
      <c r="E45" s="27">
        <v>0</v>
      </c>
      <c r="F45" s="3"/>
    </row>
    <row r="46" spans="1:6" s="34" customFormat="1">
      <c r="A46" s="23"/>
      <c r="B46" s="21"/>
      <c r="C46" s="22"/>
      <c r="D46" s="26"/>
      <c r="E46" s="27"/>
      <c r="F46" s="3"/>
    </row>
    <row r="47" spans="1:6" s="34" customFormat="1">
      <c r="A47" s="14" t="s">
        <v>65</v>
      </c>
      <c r="B47" s="35" t="s">
        <v>66</v>
      </c>
      <c r="C47" s="68">
        <f>C49+C85</f>
        <v>1831821024.6700001</v>
      </c>
      <c r="D47" s="69">
        <f>D49+D85</f>
        <v>1854863210.0799999</v>
      </c>
      <c r="E47" s="70">
        <f>E49+E85</f>
        <v>1906654894.5599999</v>
      </c>
      <c r="F47" s="3"/>
    </row>
    <row r="48" spans="1:6" s="34" customFormat="1">
      <c r="A48" s="23"/>
      <c r="B48" s="36"/>
      <c r="C48" s="37"/>
      <c r="D48" s="71"/>
      <c r="E48" s="72"/>
      <c r="F48" s="3"/>
    </row>
    <row r="49" spans="1:6" s="34" customFormat="1" ht="39.6">
      <c r="A49" s="20" t="s">
        <v>67</v>
      </c>
      <c r="B49" s="38" t="s">
        <v>68</v>
      </c>
      <c r="C49" s="37">
        <f>C50+C54+C65+C80</f>
        <v>1827087045.6400001</v>
      </c>
      <c r="D49" s="71">
        <f>D50+D54+D65+D80</f>
        <v>1854863210.0799999</v>
      </c>
      <c r="E49" s="72">
        <f>E50+E54+E65+E80</f>
        <v>1906654894.5599999</v>
      </c>
      <c r="F49" s="3"/>
    </row>
    <row r="50" spans="1:6" s="17" customFormat="1" ht="26.4">
      <c r="A50" s="23" t="s">
        <v>69</v>
      </c>
      <c r="B50" s="39" t="s">
        <v>70</v>
      </c>
      <c r="C50" s="22">
        <f>SUM(C51:C52)</f>
        <v>459597927.19</v>
      </c>
      <c r="D50" s="26">
        <f>SUM(D51:D52)</f>
        <v>555534416.65999997</v>
      </c>
      <c r="E50" s="27">
        <f>SUM(E51:E52)</f>
        <v>584348084.79999995</v>
      </c>
      <c r="F50" s="3"/>
    </row>
    <row r="51" spans="1:6" s="17" customFormat="1" ht="26.4">
      <c r="A51" s="40" t="s">
        <v>71</v>
      </c>
      <c r="B51" s="38" t="s">
        <v>72</v>
      </c>
      <c r="C51" s="22">
        <v>78849761.290000007</v>
      </c>
      <c r="D51" s="26">
        <v>70405204.780000001</v>
      </c>
      <c r="E51" s="27">
        <v>82469353.299999997</v>
      </c>
      <c r="F51" s="3"/>
    </row>
    <row r="52" spans="1:6" s="17" customFormat="1" ht="52.8">
      <c r="A52" s="40" t="s">
        <v>73</v>
      </c>
      <c r="B52" s="38" t="s">
        <v>123</v>
      </c>
      <c r="C52" s="22">
        <v>380748165.89999998</v>
      </c>
      <c r="D52" s="26">
        <f>450502757.25+23998756+10627698.63</f>
        <v>485129211.88</v>
      </c>
      <c r="E52" s="27">
        <f>438504754.87+48713278+14660698.63</f>
        <v>501878731.5</v>
      </c>
      <c r="F52" s="3"/>
    </row>
    <row r="53" spans="1:6" s="17" customFormat="1">
      <c r="A53" s="41"/>
      <c r="B53" s="42"/>
      <c r="C53" s="22"/>
      <c r="D53" s="26"/>
      <c r="E53" s="27"/>
      <c r="F53" s="3"/>
    </row>
    <row r="54" spans="1:6" s="17" customFormat="1" ht="26.4">
      <c r="A54" s="23" t="s">
        <v>74</v>
      </c>
      <c r="B54" s="38" t="s">
        <v>75</v>
      </c>
      <c r="C54" s="22">
        <f>SUM(C55:C63)</f>
        <v>354855557.98000002</v>
      </c>
      <c r="D54" s="26">
        <f>SUM(D55:D63)</f>
        <v>339727537.89999998</v>
      </c>
      <c r="E54" s="27">
        <f>SUM(E55:E63)</f>
        <v>355567566.81</v>
      </c>
      <c r="F54" s="3"/>
    </row>
    <row r="55" spans="1:6" s="17" customFormat="1" ht="132">
      <c r="A55" s="40" t="s">
        <v>120</v>
      </c>
      <c r="B55" s="38" t="s">
        <v>76</v>
      </c>
      <c r="C55" s="22">
        <v>22927352.84</v>
      </c>
      <c r="D55" s="26">
        <v>0</v>
      </c>
      <c r="E55" s="27">
        <v>0</v>
      </c>
      <c r="F55" s="3"/>
    </row>
    <row r="56" spans="1:6" s="17" customFormat="1" ht="118.8">
      <c r="A56" s="40" t="s">
        <v>121</v>
      </c>
      <c r="B56" s="38" t="s">
        <v>76</v>
      </c>
      <c r="C56" s="22">
        <v>467905.16</v>
      </c>
      <c r="D56" s="26">
        <v>0</v>
      </c>
      <c r="E56" s="27">
        <v>0</v>
      </c>
      <c r="F56" s="3"/>
    </row>
    <row r="57" spans="1:6" s="17" customFormat="1" ht="52.8">
      <c r="A57" s="40" t="s">
        <v>77</v>
      </c>
      <c r="B57" s="38" t="s">
        <v>78</v>
      </c>
      <c r="C57" s="22">
        <v>18839206.510000002</v>
      </c>
      <c r="D57" s="26">
        <v>18913761.379999999</v>
      </c>
      <c r="E57" s="27">
        <v>18709460.149999999</v>
      </c>
      <c r="F57" s="3"/>
    </row>
    <row r="58" spans="1:6" s="17" customFormat="1" ht="66">
      <c r="A58" s="40" t="s">
        <v>79</v>
      </c>
      <c r="B58" s="43" t="s">
        <v>124</v>
      </c>
      <c r="C58" s="22">
        <v>383180.16</v>
      </c>
      <c r="D58" s="26">
        <v>383627.2</v>
      </c>
      <c r="E58" s="27">
        <v>359641.91</v>
      </c>
      <c r="F58" s="3"/>
    </row>
    <row r="59" spans="1:6" s="17" customFormat="1" ht="52.8">
      <c r="A59" s="40" t="s">
        <v>80</v>
      </c>
      <c r="B59" s="38" t="s">
        <v>81</v>
      </c>
      <c r="C59" s="22">
        <v>307166640</v>
      </c>
      <c r="D59" s="26">
        <v>318999400</v>
      </c>
      <c r="E59" s="27">
        <v>335057530</v>
      </c>
      <c r="F59" s="3"/>
    </row>
    <row r="60" spans="1:6" s="17" customFormat="1" ht="52.8">
      <c r="A60" s="40" t="s">
        <v>82</v>
      </c>
      <c r="B60" s="43" t="s">
        <v>83</v>
      </c>
      <c r="C60" s="22">
        <v>230136.95999999999</v>
      </c>
      <c r="D60" s="26">
        <v>230136.95999999999</v>
      </c>
      <c r="E60" s="27">
        <v>230136.95999999999</v>
      </c>
      <c r="F60" s="3"/>
    </row>
    <row r="61" spans="1:6" s="17" customFormat="1" ht="39.6">
      <c r="A61" s="40" t="s">
        <v>84</v>
      </c>
      <c r="B61" s="44" t="s">
        <v>83</v>
      </c>
      <c r="C61" s="22">
        <v>1050000</v>
      </c>
      <c r="D61" s="26">
        <v>945000</v>
      </c>
      <c r="E61" s="27">
        <v>945000</v>
      </c>
      <c r="F61" s="3"/>
    </row>
    <row r="62" spans="1:6" s="17" customFormat="1" ht="66">
      <c r="A62" s="40" t="s">
        <v>85</v>
      </c>
      <c r="B62" s="38" t="s">
        <v>83</v>
      </c>
      <c r="C62" s="22">
        <v>245775.75</v>
      </c>
      <c r="D62" s="26">
        <v>255612.36</v>
      </c>
      <c r="E62" s="27">
        <v>265797.78999999998</v>
      </c>
      <c r="F62" s="3"/>
    </row>
    <row r="63" spans="1:6" s="17" customFormat="1" ht="94.5" customHeight="1">
      <c r="A63" s="40" t="s">
        <v>122</v>
      </c>
      <c r="B63" s="38" t="s">
        <v>83</v>
      </c>
      <c r="C63" s="22">
        <v>3545360.6</v>
      </c>
      <c r="D63" s="26">
        <v>0</v>
      </c>
      <c r="E63" s="27">
        <v>0</v>
      </c>
      <c r="F63" s="3"/>
    </row>
    <row r="64" spans="1:6">
      <c r="A64" s="41"/>
      <c r="B64" s="42"/>
      <c r="C64" s="22"/>
      <c r="D64" s="26"/>
      <c r="E64" s="27"/>
    </row>
    <row r="65" spans="1:5" s="3" customFormat="1" ht="26.4">
      <c r="A65" s="23" t="s">
        <v>86</v>
      </c>
      <c r="B65" s="38" t="s">
        <v>87</v>
      </c>
      <c r="C65" s="22">
        <f>SUM(C66:C79)</f>
        <v>937898109.06000006</v>
      </c>
      <c r="D65" s="26">
        <f t="shared" ref="D65:E65" si="0">SUM(D66:D79)</f>
        <v>958033211.4000001</v>
      </c>
      <c r="E65" s="27">
        <f t="shared" si="0"/>
        <v>965171198.83000004</v>
      </c>
    </row>
    <row r="66" spans="1:5" s="3" customFormat="1" ht="26.4">
      <c r="A66" s="40" t="s">
        <v>88</v>
      </c>
      <c r="B66" s="43" t="s">
        <v>89</v>
      </c>
      <c r="C66" s="22">
        <v>451206.49</v>
      </c>
      <c r="D66" s="26">
        <v>455268.55</v>
      </c>
      <c r="E66" s="27">
        <v>471679.29</v>
      </c>
    </row>
    <row r="67" spans="1:5" s="3" customFormat="1" ht="66">
      <c r="A67" s="40" t="s">
        <v>90</v>
      </c>
      <c r="B67" s="38" t="s">
        <v>89</v>
      </c>
      <c r="C67" s="22">
        <v>14000</v>
      </c>
      <c r="D67" s="26">
        <v>14000</v>
      </c>
      <c r="E67" s="27">
        <v>14000</v>
      </c>
    </row>
    <row r="68" spans="1:5" s="3" customFormat="1" ht="26.4">
      <c r="A68" s="40" t="s">
        <v>91</v>
      </c>
      <c r="B68" s="38" t="s">
        <v>89</v>
      </c>
      <c r="C68" s="22">
        <v>35000</v>
      </c>
      <c r="D68" s="26">
        <v>35000</v>
      </c>
      <c r="E68" s="27">
        <v>35000</v>
      </c>
    </row>
    <row r="69" spans="1:5" s="3" customFormat="1" ht="66">
      <c r="A69" s="40" t="s">
        <v>92</v>
      </c>
      <c r="B69" s="38" t="s">
        <v>89</v>
      </c>
      <c r="C69" s="22">
        <v>4663289.97</v>
      </c>
      <c r="D69" s="26">
        <v>4849832.93</v>
      </c>
      <c r="E69" s="27">
        <v>5043758.0999999996</v>
      </c>
    </row>
    <row r="70" spans="1:5" s="3" customFormat="1" ht="79.2">
      <c r="A70" s="40" t="s">
        <v>93</v>
      </c>
      <c r="B70" s="38" t="s">
        <v>89</v>
      </c>
      <c r="C70" s="22">
        <v>56017990.280000001</v>
      </c>
      <c r="D70" s="26">
        <v>59023646.920000002</v>
      </c>
      <c r="E70" s="27">
        <v>59023620.75</v>
      </c>
    </row>
    <row r="71" spans="1:5" s="3" customFormat="1" ht="52.8">
      <c r="A71" s="40" t="s">
        <v>94</v>
      </c>
      <c r="B71" s="38" t="s">
        <v>95</v>
      </c>
      <c r="C71" s="22">
        <v>7755935.4000000004</v>
      </c>
      <c r="D71" s="26">
        <v>8162580</v>
      </c>
      <c r="E71" s="27">
        <v>8162250</v>
      </c>
    </row>
    <row r="72" spans="1:5" s="3" customFormat="1" ht="66">
      <c r="A72" s="40" t="s">
        <v>96</v>
      </c>
      <c r="B72" s="38" t="s">
        <v>97</v>
      </c>
      <c r="C72" s="22">
        <v>7102432.9900000002</v>
      </c>
      <c r="D72" s="26">
        <v>7308981.79</v>
      </c>
      <c r="E72" s="27">
        <v>7563946.2699999996</v>
      </c>
    </row>
    <row r="73" spans="1:5" s="3" customFormat="1" ht="52.8">
      <c r="A73" s="45" t="s">
        <v>98</v>
      </c>
      <c r="B73" s="38" t="s">
        <v>99</v>
      </c>
      <c r="C73" s="22">
        <v>2768405.85</v>
      </c>
      <c r="D73" s="26">
        <v>2873951.95</v>
      </c>
      <c r="E73" s="27">
        <v>2997845.9</v>
      </c>
    </row>
    <row r="74" spans="1:5" s="3" customFormat="1" ht="52.8">
      <c r="A74" s="40" t="s">
        <v>100</v>
      </c>
      <c r="B74" s="38" t="s">
        <v>101</v>
      </c>
      <c r="C74" s="22">
        <v>1481.71</v>
      </c>
      <c r="D74" s="26">
        <v>1321.79</v>
      </c>
      <c r="E74" s="27">
        <v>1321.95</v>
      </c>
    </row>
    <row r="75" spans="1:5" s="3" customFormat="1" ht="52.8">
      <c r="A75" s="46" t="s">
        <v>102</v>
      </c>
      <c r="B75" s="38" t="s">
        <v>103</v>
      </c>
      <c r="C75" s="22">
        <v>29774615</v>
      </c>
      <c r="D75" s="26">
        <v>30027030</v>
      </c>
      <c r="E75" s="27">
        <v>29900775</v>
      </c>
    </row>
    <row r="76" spans="1:5" s="3" customFormat="1" ht="26.4">
      <c r="A76" s="40" t="s">
        <v>104</v>
      </c>
      <c r="B76" s="38" t="s">
        <v>105</v>
      </c>
      <c r="C76" s="22">
        <v>8677923.2799999993</v>
      </c>
      <c r="D76" s="26">
        <v>8755102.5099999998</v>
      </c>
      <c r="E76" s="27">
        <v>9066906.6099999994</v>
      </c>
    </row>
    <row r="77" spans="1:5" s="3" customFormat="1" ht="26.4">
      <c r="A77" s="40" t="s">
        <v>106</v>
      </c>
      <c r="B77" s="38" t="s">
        <v>107</v>
      </c>
      <c r="C77" s="22">
        <v>780010300</v>
      </c>
      <c r="D77" s="26">
        <v>813691700</v>
      </c>
      <c r="E77" s="27">
        <v>820055300</v>
      </c>
    </row>
    <row r="78" spans="1:5" s="3" customFormat="1" ht="52.8">
      <c r="A78" s="40" t="s">
        <v>108</v>
      </c>
      <c r="B78" s="38" t="s">
        <v>107</v>
      </c>
      <c r="C78" s="22">
        <v>40625528.090000004</v>
      </c>
      <c r="D78" s="26">
        <v>22834794.960000001</v>
      </c>
      <c r="E78" s="27">
        <v>22834794.960000001</v>
      </c>
    </row>
    <row r="79" spans="1:5" s="3" customFormat="1">
      <c r="A79" s="40"/>
      <c r="B79" s="38"/>
      <c r="C79" s="22"/>
      <c r="D79" s="26"/>
      <c r="E79" s="27"/>
    </row>
    <row r="80" spans="1:5" s="3" customFormat="1" ht="26.4">
      <c r="A80" s="23" t="s">
        <v>109</v>
      </c>
      <c r="B80" s="38" t="s">
        <v>110</v>
      </c>
      <c r="C80" s="22">
        <f>SUM(C81:C83)</f>
        <v>74735451.409999996</v>
      </c>
      <c r="D80" s="26">
        <f t="shared" ref="D80:E80" si="1">SUM(D81:D83)</f>
        <v>1568044.12</v>
      </c>
      <c r="E80" s="27">
        <f t="shared" si="1"/>
        <v>1568044.12</v>
      </c>
    </row>
    <row r="81" spans="1:6" ht="26.4">
      <c r="A81" s="40" t="s">
        <v>111</v>
      </c>
      <c r="B81" s="38" t="s">
        <v>112</v>
      </c>
      <c r="C81" s="22">
        <v>1595820.1</v>
      </c>
      <c r="D81" s="26">
        <v>1568044.12</v>
      </c>
      <c r="E81" s="27">
        <v>1568044.12</v>
      </c>
    </row>
    <row r="82" spans="1:6" ht="118.8">
      <c r="A82" s="40" t="s">
        <v>113</v>
      </c>
      <c r="B82" s="38" t="s">
        <v>112</v>
      </c>
      <c r="C82" s="22">
        <v>19631.310000000001</v>
      </c>
      <c r="D82" s="26">
        <v>0</v>
      </c>
      <c r="E82" s="27">
        <v>0</v>
      </c>
    </row>
    <row r="83" spans="1:6" ht="39.6">
      <c r="A83" s="40" t="s">
        <v>114</v>
      </c>
      <c r="B83" s="38" t="s">
        <v>112</v>
      </c>
      <c r="C83" s="22">
        <v>73120000</v>
      </c>
      <c r="D83" s="26">
        <v>0</v>
      </c>
      <c r="E83" s="27">
        <v>0</v>
      </c>
    </row>
    <row r="84" spans="1:6">
      <c r="A84" s="40"/>
      <c r="B84" s="38"/>
      <c r="C84" s="22"/>
      <c r="D84" s="26"/>
      <c r="E84" s="27"/>
    </row>
    <row r="85" spans="1:6" ht="26.4">
      <c r="A85" s="25" t="s">
        <v>115</v>
      </c>
      <c r="B85" s="39" t="s">
        <v>116</v>
      </c>
      <c r="C85" s="22">
        <f>C86</f>
        <v>4733979.03</v>
      </c>
      <c r="D85" s="26">
        <f>D86</f>
        <v>0</v>
      </c>
      <c r="E85" s="27">
        <f>E86</f>
        <v>0</v>
      </c>
    </row>
    <row r="86" spans="1:6" s="49" customFormat="1" ht="26.4">
      <c r="A86" s="47" t="s">
        <v>117</v>
      </c>
      <c r="B86" s="48" t="s">
        <v>118</v>
      </c>
      <c r="C86" s="22">
        <v>4733979.03</v>
      </c>
      <c r="D86" s="26"/>
      <c r="E86" s="27"/>
      <c r="F86" s="3"/>
    </row>
    <row r="87" spans="1:6">
      <c r="A87" s="50"/>
      <c r="B87" s="51"/>
      <c r="C87" s="52"/>
      <c r="D87" s="73"/>
      <c r="E87" s="74"/>
    </row>
    <row r="88" spans="1:6">
      <c r="A88" s="53" t="s">
        <v>119</v>
      </c>
      <c r="B88" s="54"/>
      <c r="C88" s="55">
        <f>C47+C7</f>
        <v>2248408464.6700001</v>
      </c>
      <c r="D88" s="75">
        <f>D47+D7</f>
        <v>2283267767.0799999</v>
      </c>
      <c r="E88" s="76">
        <f>E47+E7</f>
        <v>2345285634.5599999</v>
      </c>
    </row>
    <row r="89" spans="1:6">
      <c r="D89" s="56"/>
      <c r="E89" s="56"/>
    </row>
    <row r="90" spans="1:6">
      <c r="C90" s="56"/>
      <c r="D90" s="57"/>
      <c r="E90" s="57"/>
    </row>
    <row r="91" spans="1:6">
      <c r="C91" s="58"/>
      <c r="D91" s="58"/>
      <c r="E91" s="58"/>
    </row>
    <row r="93" spans="1:6">
      <c r="C93" s="58"/>
    </row>
  </sheetData>
  <mergeCells count="6">
    <mergeCell ref="D1:E1"/>
    <mergeCell ref="C2:E2"/>
    <mergeCell ref="A3:E3"/>
    <mergeCell ref="A4:A5"/>
    <mergeCell ref="B4:B5"/>
    <mergeCell ref="C4:E4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7"/>
  <sheetViews>
    <sheetView workbookViewId="0">
      <pane xSplit="3" ySplit="5" topLeftCell="H105" activePane="bottomRight" state="frozen"/>
      <selection pane="topRight" activeCell="D1" sqref="D1"/>
      <selection pane="bottomLeft" activeCell="A6" sqref="A6"/>
      <selection pane="bottomRight" activeCell="J109" sqref="J109"/>
    </sheetView>
  </sheetViews>
  <sheetFormatPr defaultColWidth="9.109375" defaultRowHeight="13.2"/>
  <cols>
    <col min="1" max="1" width="47.109375" style="1" customWidth="1"/>
    <col min="2" max="2" width="20.33203125" style="2" customWidth="1"/>
    <col min="3" max="5" width="15.5546875" style="1" customWidth="1"/>
    <col min="6" max="6" width="15.5546875" style="104" customWidth="1"/>
    <col min="7" max="7" width="15.5546875" style="49" customWidth="1"/>
    <col min="8" max="8" width="15.5546875" style="104" customWidth="1"/>
    <col min="9" max="9" width="15.5546875" style="49" customWidth="1"/>
    <col min="10" max="10" width="15.5546875" style="104" customWidth="1"/>
    <col min="11" max="11" width="15.5546875" style="49" customWidth="1"/>
    <col min="12" max="12" width="14.5546875" style="1" customWidth="1"/>
    <col min="13" max="13" width="14.5546875" style="92" customWidth="1"/>
    <col min="14" max="14" width="15.5546875" style="1" customWidth="1"/>
    <col min="15" max="15" width="14.5546875" style="92" customWidth="1"/>
    <col min="16" max="16" width="15.5546875" style="1" customWidth="1"/>
    <col min="17" max="17" width="14.5546875" style="104" customWidth="1"/>
    <col min="18" max="18" width="15.5546875" style="49" customWidth="1"/>
    <col min="19" max="19" width="15.33203125" style="1" customWidth="1"/>
    <col min="20" max="20" width="15.33203125" style="92" customWidth="1"/>
    <col min="21" max="21" width="15.33203125" style="1" customWidth="1"/>
    <col min="22" max="22" width="15.33203125" style="92" customWidth="1"/>
    <col min="23" max="23" width="15.33203125" style="1" customWidth="1"/>
    <col min="24" max="24" width="15.33203125" style="104" customWidth="1"/>
    <col min="25" max="25" width="15.33203125" style="49" customWidth="1"/>
    <col min="26" max="26" width="11.88671875" style="84" customWidth="1"/>
    <col min="27" max="27" width="9.109375" style="58"/>
    <col min="28" max="16384" width="9.109375" style="1"/>
  </cols>
  <sheetData>
    <row r="1" spans="1:27" ht="57" customHeight="1">
      <c r="A1" s="234" t="s">
        <v>2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100"/>
      <c r="U1" s="99"/>
      <c r="V1" s="100"/>
      <c r="W1" s="184"/>
      <c r="X1" s="192"/>
      <c r="Y1" s="193"/>
    </row>
    <row r="2" spans="1:27" ht="21.75" customHeight="1">
      <c r="A2" s="236" t="s">
        <v>3</v>
      </c>
      <c r="B2" s="236" t="s">
        <v>4</v>
      </c>
      <c r="C2" s="244" t="s">
        <v>5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246"/>
      <c r="V2" s="246"/>
      <c r="W2" s="246"/>
      <c r="X2" s="247"/>
      <c r="Y2" s="247"/>
    </row>
    <row r="3" spans="1:27" ht="23.4" customHeight="1">
      <c r="A3" s="236"/>
      <c r="B3" s="236"/>
      <c r="C3" s="237" t="s">
        <v>6</v>
      </c>
      <c r="D3" s="238"/>
      <c r="E3" s="238"/>
      <c r="F3" s="239"/>
      <c r="G3" s="239"/>
      <c r="H3" s="239"/>
      <c r="I3" s="239"/>
      <c r="J3" s="239"/>
      <c r="K3" s="240"/>
      <c r="L3" s="241" t="s">
        <v>7</v>
      </c>
      <c r="M3" s="239"/>
      <c r="N3" s="239"/>
      <c r="O3" s="239"/>
      <c r="P3" s="239"/>
      <c r="Q3" s="239"/>
      <c r="R3" s="240"/>
      <c r="S3" s="242" t="s">
        <v>8</v>
      </c>
      <c r="T3" s="243"/>
      <c r="U3" s="243"/>
      <c r="V3" s="243"/>
      <c r="W3" s="243"/>
      <c r="X3" s="243"/>
      <c r="Y3" s="243"/>
    </row>
    <row r="4" spans="1:27" s="13" customFormat="1" ht="15" customHeight="1">
      <c r="A4" s="129">
        <v>1</v>
      </c>
      <c r="B4" s="130">
        <v>2</v>
      </c>
      <c r="C4" s="130">
        <v>3</v>
      </c>
      <c r="D4" s="130" t="s">
        <v>129</v>
      </c>
      <c r="E4" s="130">
        <v>3</v>
      </c>
      <c r="F4" s="131" t="s">
        <v>130</v>
      </c>
      <c r="G4" s="131">
        <v>3</v>
      </c>
      <c r="H4" s="186">
        <v>45373</v>
      </c>
      <c r="I4" s="131">
        <v>3</v>
      </c>
      <c r="J4" s="186">
        <v>45436</v>
      </c>
      <c r="K4" s="131">
        <v>3</v>
      </c>
      <c r="L4" s="130">
        <v>4</v>
      </c>
      <c r="M4" s="130" t="s">
        <v>130</v>
      </c>
      <c r="N4" s="130">
        <v>4</v>
      </c>
      <c r="O4" s="187" t="s">
        <v>149</v>
      </c>
      <c r="P4" s="130">
        <v>4</v>
      </c>
      <c r="Q4" s="194" t="s">
        <v>165</v>
      </c>
      <c r="R4" s="131">
        <v>4</v>
      </c>
      <c r="S4" s="130">
        <v>5</v>
      </c>
      <c r="T4" s="130" t="s">
        <v>130</v>
      </c>
      <c r="U4" s="130">
        <v>5</v>
      </c>
      <c r="V4" s="187" t="s">
        <v>149</v>
      </c>
      <c r="W4" s="130">
        <v>5</v>
      </c>
      <c r="X4" s="194" t="s">
        <v>165</v>
      </c>
      <c r="Y4" s="131">
        <v>5</v>
      </c>
      <c r="Z4" s="173"/>
      <c r="AA4" s="174"/>
    </row>
    <row r="5" spans="1:27" s="17" customFormat="1">
      <c r="A5" s="53" t="s">
        <v>9</v>
      </c>
      <c r="B5" s="132" t="s">
        <v>10</v>
      </c>
      <c r="C5" s="133">
        <f t="shared" ref="C5:S5" si="0">C7+C10+C13+C18+C23+C28+C32+C34+C37+C41+C43</f>
        <v>416587440</v>
      </c>
      <c r="D5" s="133">
        <f t="shared" si="0"/>
        <v>13524558.560000001</v>
      </c>
      <c r="E5" s="133">
        <f t="shared" si="0"/>
        <v>430111998.56</v>
      </c>
      <c r="F5" s="134">
        <f t="shared" si="0"/>
        <v>23653900.850000001</v>
      </c>
      <c r="G5" s="134">
        <f t="shared" si="0"/>
        <v>453765899.41000003</v>
      </c>
      <c r="H5" s="134">
        <f t="shared" ref="H5:I5" si="1">H7+H10+H13+H18+H23+H28+H32+H34+H37+H41+H43</f>
        <v>0</v>
      </c>
      <c r="I5" s="134">
        <f t="shared" si="1"/>
        <v>453765899.41000003</v>
      </c>
      <c r="J5" s="134">
        <f t="shared" ref="J5:K5" si="2">J7+J10+J13+J18+J23+J28+J32+J34+J37+J41+J43</f>
        <v>9000000</v>
      </c>
      <c r="K5" s="134">
        <f t="shared" si="2"/>
        <v>462765899.41000003</v>
      </c>
      <c r="L5" s="133">
        <f t="shared" si="0"/>
        <v>428404557</v>
      </c>
      <c r="M5" s="133"/>
      <c r="N5" s="133">
        <f t="shared" ref="N5:P5" si="3">N7+N10+N13+N18+N23+N28+N32+N34+N37+N41+N43</f>
        <v>428404557</v>
      </c>
      <c r="O5" s="133"/>
      <c r="P5" s="133">
        <f t="shared" si="3"/>
        <v>428404557</v>
      </c>
      <c r="Q5" s="134"/>
      <c r="R5" s="134">
        <f t="shared" ref="R5" si="4">R7+R10+R13+R18+R23+R28+R32+R34+R37+R41+R43</f>
        <v>428404557</v>
      </c>
      <c r="S5" s="133">
        <f t="shared" si="0"/>
        <v>438630740</v>
      </c>
      <c r="T5" s="133"/>
      <c r="U5" s="133">
        <f t="shared" ref="U5:W5" si="5">U7+U10+U13+U18+U23+U28+U32+U34+U37+U41+U43</f>
        <v>438630740</v>
      </c>
      <c r="V5" s="133"/>
      <c r="W5" s="133">
        <f t="shared" si="5"/>
        <v>438630740</v>
      </c>
      <c r="X5" s="134"/>
      <c r="Y5" s="134">
        <f t="shared" ref="Y5" si="6">Y7+Y10+Y13+Y18+Y23+Y28+Y32+Y34+Y37+Y41+Y43</f>
        <v>438630740</v>
      </c>
      <c r="Z5" s="84"/>
      <c r="AA5" s="84"/>
    </row>
    <row r="6" spans="1:27" s="17" customFormat="1">
      <c r="A6" s="53"/>
      <c r="B6" s="135"/>
      <c r="C6" s="136"/>
      <c r="D6" s="136"/>
      <c r="E6" s="136"/>
      <c r="F6" s="137"/>
      <c r="G6" s="138"/>
      <c r="H6" s="137"/>
      <c r="I6" s="138"/>
      <c r="J6" s="137"/>
      <c r="K6" s="138"/>
      <c r="L6" s="139"/>
      <c r="M6" s="139"/>
      <c r="N6" s="139"/>
      <c r="O6" s="139"/>
      <c r="P6" s="139"/>
      <c r="Q6" s="196"/>
      <c r="R6" s="196"/>
      <c r="S6" s="139"/>
      <c r="T6" s="139"/>
      <c r="U6" s="139"/>
      <c r="V6" s="139"/>
      <c r="W6" s="139"/>
      <c r="X6" s="196"/>
      <c r="Y6" s="196"/>
      <c r="Z6" s="84"/>
      <c r="AA6" s="84"/>
    </row>
    <row r="7" spans="1:27" s="17" customFormat="1">
      <c r="A7" s="140" t="s">
        <v>11</v>
      </c>
      <c r="B7" s="135" t="s">
        <v>12</v>
      </c>
      <c r="C7" s="141">
        <f>C8</f>
        <v>285638123</v>
      </c>
      <c r="D7" s="141">
        <f t="shared" ref="D7:K7" si="7">D8</f>
        <v>13524558.560000001</v>
      </c>
      <c r="E7" s="141">
        <f t="shared" si="7"/>
        <v>299162681.56</v>
      </c>
      <c r="F7" s="134">
        <f t="shared" si="7"/>
        <v>23653900.850000001</v>
      </c>
      <c r="G7" s="142">
        <f t="shared" si="7"/>
        <v>322816582.41000003</v>
      </c>
      <c r="H7" s="134">
        <f t="shared" si="7"/>
        <v>0</v>
      </c>
      <c r="I7" s="142">
        <f t="shared" si="7"/>
        <v>322816582.41000003</v>
      </c>
      <c r="J7" s="134">
        <f t="shared" si="7"/>
        <v>9000000</v>
      </c>
      <c r="K7" s="142">
        <f t="shared" si="7"/>
        <v>331816582.41000003</v>
      </c>
      <c r="L7" s="141">
        <f>L8</f>
        <v>298387792</v>
      </c>
      <c r="M7" s="133"/>
      <c r="N7" s="141">
        <f>N8</f>
        <v>298387792</v>
      </c>
      <c r="O7" s="133"/>
      <c r="P7" s="141">
        <f>P8</f>
        <v>298387792</v>
      </c>
      <c r="Q7" s="134"/>
      <c r="R7" s="142">
        <f>R8</f>
        <v>298387792</v>
      </c>
      <c r="S7" s="141">
        <f>S8</f>
        <v>306680483</v>
      </c>
      <c r="T7" s="133"/>
      <c r="U7" s="141">
        <f>U8</f>
        <v>306680483</v>
      </c>
      <c r="V7" s="133"/>
      <c r="W7" s="141">
        <f>W8</f>
        <v>306680483</v>
      </c>
      <c r="X7" s="134"/>
      <c r="Y7" s="142">
        <f>Y8</f>
        <v>306680483</v>
      </c>
      <c r="Z7" s="84"/>
      <c r="AA7" s="84"/>
    </row>
    <row r="8" spans="1:27" s="17" customFormat="1">
      <c r="A8" s="143" t="s">
        <v>13</v>
      </c>
      <c r="B8" s="135" t="s">
        <v>14</v>
      </c>
      <c r="C8" s="141">
        <v>285638123</v>
      </c>
      <c r="D8" s="141">
        <v>13524558.560000001</v>
      </c>
      <c r="E8" s="141">
        <f>285638123+D8</f>
        <v>299162681.56</v>
      </c>
      <c r="F8" s="134">
        <v>23653900.850000001</v>
      </c>
      <c r="G8" s="142">
        <f>E8+F8</f>
        <v>322816582.41000003</v>
      </c>
      <c r="H8" s="134"/>
      <c r="I8" s="142">
        <f>G8+H8</f>
        <v>322816582.41000003</v>
      </c>
      <c r="J8" s="134">
        <v>9000000</v>
      </c>
      <c r="K8" s="142">
        <f>I8+J8</f>
        <v>331816582.41000003</v>
      </c>
      <c r="L8" s="141">
        <v>298387792</v>
      </c>
      <c r="M8" s="133"/>
      <c r="N8" s="141">
        <v>298387792</v>
      </c>
      <c r="O8" s="133"/>
      <c r="P8" s="141">
        <v>298387792</v>
      </c>
      <c r="Q8" s="134"/>
      <c r="R8" s="142">
        <v>298387792</v>
      </c>
      <c r="S8" s="141">
        <v>306680483</v>
      </c>
      <c r="T8" s="133"/>
      <c r="U8" s="141">
        <v>306680483</v>
      </c>
      <c r="V8" s="133"/>
      <c r="W8" s="141">
        <v>306680483</v>
      </c>
      <c r="X8" s="134"/>
      <c r="Y8" s="142">
        <v>306680483</v>
      </c>
      <c r="Z8" s="84"/>
      <c r="AA8" s="84"/>
    </row>
    <row r="9" spans="1:27" s="17" customFormat="1">
      <c r="A9" s="143"/>
      <c r="B9" s="135"/>
      <c r="C9" s="144"/>
      <c r="D9" s="144"/>
      <c r="E9" s="144"/>
      <c r="F9" s="145"/>
      <c r="G9" s="145"/>
      <c r="H9" s="145"/>
      <c r="I9" s="145"/>
      <c r="J9" s="145"/>
      <c r="K9" s="145"/>
      <c r="L9" s="146"/>
      <c r="M9" s="146"/>
      <c r="N9" s="146"/>
      <c r="O9" s="146"/>
      <c r="P9" s="146"/>
      <c r="Q9" s="197"/>
      <c r="R9" s="197"/>
      <c r="S9" s="146"/>
      <c r="T9" s="146"/>
      <c r="U9" s="146"/>
      <c r="V9" s="146"/>
      <c r="W9" s="146"/>
      <c r="X9" s="197"/>
      <c r="Y9" s="197"/>
      <c r="Z9" s="84"/>
      <c r="AA9" s="84"/>
    </row>
    <row r="10" spans="1:27" s="17" customFormat="1" ht="39.6">
      <c r="A10" s="147" t="s">
        <v>15</v>
      </c>
      <c r="B10" s="135" t="s">
        <v>16</v>
      </c>
      <c r="C10" s="141">
        <f>C11</f>
        <v>41304236</v>
      </c>
      <c r="D10" s="141"/>
      <c r="E10" s="141">
        <f>E11</f>
        <v>41304236</v>
      </c>
      <c r="F10" s="134"/>
      <c r="G10" s="142">
        <f>G11</f>
        <v>41304236</v>
      </c>
      <c r="H10" s="134"/>
      <c r="I10" s="142">
        <f>I11</f>
        <v>41304236</v>
      </c>
      <c r="J10" s="134"/>
      <c r="K10" s="142">
        <f>K11</f>
        <v>41304236</v>
      </c>
      <c r="L10" s="141">
        <f>L11</f>
        <v>42231315</v>
      </c>
      <c r="M10" s="133"/>
      <c r="N10" s="141">
        <f>N11</f>
        <v>42231315</v>
      </c>
      <c r="O10" s="133"/>
      <c r="P10" s="141">
        <f>P11</f>
        <v>42231315</v>
      </c>
      <c r="Q10" s="134"/>
      <c r="R10" s="142">
        <f>R11</f>
        <v>42231315</v>
      </c>
      <c r="S10" s="141">
        <f>S11</f>
        <v>43293645</v>
      </c>
      <c r="T10" s="133"/>
      <c r="U10" s="141">
        <f>U11</f>
        <v>43293645</v>
      </c>
      <c r="V10" s="133"/>
      <c r="W10" s="141">
        <f>W11</f>
        <v>43293645</v>
      </c>
      <c r="X10" s="134"/>
      <c r="Y10" s="142">
        <f>Y11</f>
        <v>43293645</v>
      </c>
      <c r="Z10" s="84"/>
      <c r="AA10" s="84"/>
    </row>
    <row r="11" spans="1:27" s="17" customFormat="1" ht="26.4">
      <c r="A11" s="143" t="s">
        <v>17</v>
      </c>
      <c r="B11" s="135" t="s">
        <v>18</v>
      </c>
      <c r="C11" s="141">
        <v>41304236</v>
      </c>
      <c r="D11" s="141"/>
      <c r="E11" s="141">
        <v>41304236</v>
      </c>
      <c r="F11" s="134"/>
      <c r="G11" s="142">
        <v>41304236</v>
      </c>
      <c r="H11" s="134"/>
      <c r="I11" s="142">
        <v>41304236</v>
      </c>
      <c r="J11" s="134"/>
      <c r="K11" s="142">
        <v>41304236</v>
      </c>
      <c r="L11" s="141">
        <v>42231315</v>
      </c>
      <c r="M11" s="133"/>
      <c r="N11" s="141">
        <v>42231315</v>
      </c>
      <c r="O11" s="133"/>
      <c r="P11" s="141">
        <v>42231315</v>
      </c>
      <c r="Q11" s="134"/>
      <c r="R11" s="142">
        <v>42231315</v>
      </c>
      <c r="S11" s="141">
        <v>43293645</v>
      </c>
      <c r="T11" s="133"/>
      <c r="U11" s="141">
        <v>43293645</v>
      </c>
      <c r="V11" s="133"/>
      <c r="W11" s="141">
        <v>43293645</v>
      </c>
      <c r="X11" s="134"/>
      <c r="Y11" s="142">
        <v>43293645</v>
      </c>
      <c r="Z11" s="84"/>
      <c r="AA11" s="84"/>
    </row>
    <row r="12" spans="1:27" s="17" customFormat="1">
      <c r="A12" s="143"/>
      <c r="B12" s="135"/>
      <c r="C12" s="144"/>
      <c r="D12" s="144"/>
      <c r="E12" s="144"/>
      <c r="F12" s="145"/>
      <c r="G12" s="145"/>
      <c r="H12" s="145"/>
      <c r="I12" s="145"/>
      <c r="J12" s="145"/>
      <c r="K12" s="145"/>
      <c r="L12" s="146"/>
      <c r="M12" s="146"/>
      <c r="N12" s="146"/>
      <c r="O12" s="146"/>
      <c r="P12" s="146"/>
      <c r="Q12" s="197"/>
      <c r="R12" s="197"/>
      <c r="S12" s="146"/>
      <c r="T12" s="146"/>
      <c r="U12" s="146"/>
      <c r="V12" s="146"/>
      <c r="W12" s="146"/>
      <c r="X12" s="197"/>
      <c r="Y12" s="197"/>
      <c r="Z12" s="84"/>
      <c r="AA12" s="84"/>
    </row>
    <row r="13" spans="1:27" s="17" customFormat="1">
      <c r="A13" s="147" t="s">
        <v>19</v>
      </c>
      <c r="B13" s="135" t="s">
        <v>20</v>
      </c>
      <c r="C13" s="141">
        <f>C14+C15+C16</f>
        <v>20101000</v>
      </c>
      <c r="D13" s="141"/>
      <c r="E13" s="141">
        <f>E14+E15+E16</f>
        <v>20101000</v>
      </c>
      <c r="F13" s="134"/>
      <c r="G13" s="142">
        <f>G14+G15+G16</f>
        <v>20101000</v>
      </c>
      <c r="H13" s="134"/>
      <c r="I13" s="142">
        <f>I14+I15+I16</f>
        <v>20101000</v>
      </c>
      <c r="J13" s="134"/>
      <c r="K13" s="142">
        <f>K14+K15+K16</f>
        <v>20101000</v>
      </c>
      <c r="L13" s="141">
        <f>L14+L15+L16</f>
        <v>20822626</v>
      </c>
      <c r="M13" s="133"/>
      <c r="N13" s="141">
        <f>N14+N15+N16</f>
        <v>20822626</v>
      </c>
      <c r="O13" s="133"/>
      <c r="P13" s="141">
        <f>P14+P15+P16</f>
        <v>20822626</v>
      </c>
      <c r="Q13" s="134"/>
      <c r="R13" s="142">
        <f>R14+R15+R16</f>
        <v>20822626</v>
      </c>
      <c r="S13" s="141">
        <f>S14+S15+S16</f>
        <v>21668025</v>
      </c>
      <c r="T13" s="133"/>
      <c r="U13" s="141">
        <f>U14+U15+U16</f>
        <v>21668025</v>
      </c>
      <c r="V13" s="133"/>
      <c r="W13" s="141">
        <f>W14+W15+W16</f>
        <v>21668025</v>
      </c>
      <c r="X13" s="134"/>
      <c r="Y13" s="142">
        <f>Y14+Y15+Y16</f>
        <v>21668025</v>
      </c>
      <c r="Z13" s="84"/>
      <c r="AA13" s="84"/>
    </row>
    <row r="14" spans="1:27" s="17" customFormat="1" ht="26.4">
      <c r="A14" s="143" t="s">
        <v>21</v>
      </c>
      <c r="B14" s="135" t="s">
        <v>22</v>
      </c>
      <c r="C14" s="141">
        <v>16968000</v>
      </c>
      <c r="D14" s="141"/>
      <c r="E14" s="141">
        <v>16968000</v>
      </c>
      <c r="F14" s="134"/>
      <c r="G14" s="142">
        <v>16968000</v>
      </c>
      <c r="H14" s="134"/>
      <c r="I14" s="142">
        <v>16968000</v>
      </c>
      <c r="J14" s="134"/>
      <c r="K14" s="142">
        <v>16968000</v>
      </c>
      <c r="L14" s="141">
        <v>17577151</v>
      </c>
      <c r="M14" s="133"/>
      <c r="N14" s="141">
        <v>17577151</v>
      </c>
      <c r="O14" s="133"/>
      <c r="P14" s="141">
        <v>17577151</v>
      </c>
      <c r="Q14" s="134"/>
      <c r="R14" s="142">
        <v>17577151</v>
      </c>
      <c r="S14" s="141">
        <v>18290783</v>
      </c>
      <c r="T14" s="133"/>
      <c r="U14" s="141">
        <v>18290783</v>
      </c>
      <c r="V14" s="133"/>
      <c r="W14" s="141">
        <v>18290783</v>
      </c>
      <c r="X14" s="134"/>
      <c r="Y14" s="142">
        <v>18290783</v>
      </c>
      <c r="Z14" s="84"/>
      <c r="AA14" s="84"/>
    </row>
    <row r="15" spans="1:27" s="17" customFormat="1">
      <c r="A15" s="143" t="s">
        <v>23</v>
      </c>
      <c r="B15" s="135" t="s">
        <v>24</v>
      </c>
      <c r="C15" s="141">
        <v>9000</v>
      </c>
      <c r="D15" s="141"/>
      <c r="E15" s="141">
        <v>9000</v>
      </c>
      <c r="F15" s="134"/>
      <c r="G15" s="142">
        <v>9000</v>
      </c>
      <c r="H15" s="134"/>
      <c r="I15" s="142">
        <v>9000</v>
      </c>
      <c r="J15" s="134"/>
      <c r="K15" s="142">
        <v>9000</v>
      </c>
      <c r="L15" s="141">
        <v>9323</v>
      </c>
      <c r="M15" s="133"/>
      <c r="N15" s="141">
        <v>9323</v>
      </c>
      <c r="O15" s="133"/>
      <c r="P15" s="141">
        <v>9323</v>
      </c>
      <c r="Q15" s="134"/>
      <c r="R15" s="142">
        <v>9323</v>
      </c>
      <c r="S15" s="141">
        <v>9702</v>
      </c>
      <c r="T15" s="133"/>
      <c r="U15" s="141">
        <v>9702</v>
      </c>
      <c r="V15" s="133"/>
      <c r="W15" s="141">
        <v>9702</v>
      </c>
      <c r="X15" s="134"/>
      <c r="Y15" s="142">
        <v>9702</v>
      </c>
      <c r="Z15" s="84"/>
      <c r="AA15" s="84"/>
    </row>
    <row r="16" spans="1:27" s="17" customFormat="1" ht="26.4">
      <c r="A16" s="143" t="s">
        <v>25</v>
      </c>
      <c r="B16" s="135" t="s">
        <v>26</v>
      </c>
      <c r="C16" s="141">
        <v>3124000</v>
      </c>
      <c r="D16" s="141"/>
      <c r="E16" s="141">
        <v>3124000</v>
      </c>
      <c r="F16" s="134"/>
      <c r="G16" s="142">
        <v>3124000</v>
      </c>
      <c r="H16" s="134"/>
      <c r="I16" s="142">
        <v>3124000</v>
      </c>
      <c r="J16" s="134"/>
      <c r="K16" s="142">
        <v>3124000</v>
      </c>
      <c r="L16" s="141">
        <v>3236152</v>
      </c>
      <c r="M16" s="133"/>
      <c r="N16" s="141">
        <v>3236152</v>
      </c>
      <c r="O16" s="133"/>
      <c r="P16" s="141">
        <v>3236152</v>
      </c>
      <c r="Q16" s="134"/>
      <c r="R16" s="142">
        <v>3236152</v>
      </c>
      <c r="S16" s="141">
        <v>3367540</v>
      </c>
      <c r="T16" s="133"/>
      <c r="U16" s="141">
        <v>3367540</v>
      </c>
      <c r="V16" s="133"/>
      <c r="W16" s="141">
        <v>3367540</v>
      </c>
      <c r="X16" s="134"/>
      <c r="Y16" s="142">
        <v>3367540</v>
      </c>
      <c r="Z16" s="84"/>
      <c r="AA16" s="84"/>
    </row>
    <row r="17" spans="1:27" s="17" customFormat="1">
      <c r="A17" s="143"/>
      <c r="B17" s="135"/>
      <c r="C17" s="141"/>
      <c r="D17" s="141"/>
      <c r="E17" s="141"/>
      <c r="F17" s="134"/>
      <c r="G17" s="142"/>
      <c r="H17" s="134"/>
      <c r="I17" s="142"/>
      <c r="J17" s="134"/>
      <c r="K17" s="142"/>
      <c r="L17" s="146"/>
      <c r="M17" s="146"/>
      <c r="N17" s="146"/>
      <c r="O17" s="146"/>
      <c r="P17" s="146"/>
      <c r="Q17" s="197"/>
      <c r="R17" s="197"/>
      <c r="S17" s="146"/>
      <c r="T17" s="146"/>
      <c r="U17" s="146"/>
      <c r="V17" s="146"/>
      <c r="W17" s="146"/>
      <c r="X17" s="197"/>
      <c r="Y17" s="197"/>
      <c r="Z17" s="84"/>
      <c r="AA17" s="84"/>
    </row>
    <row r="18" spans="1:27" s="17" customFormat="1">
      <c r="A18" s="147" t="s">
        <v>27</v>
      </c>
      <c r="B18" s="135" t="s">
        <v>28</v>
      </c>
      <c r="C18" s="141">
        <f>C19+C20+C21</f>
        <v>42074925</v>
      </c>
      <c r="D18" s="141"/>
      <c r="E18" s="141">
        <f>E19+E20+E21</f>
        <v>42074925</v>
      </c>
      <c r="F18" s="134"/>
      <c r="G18" s="142">
        <f>G19+G20+G21</f>
        <v>42074925</v>
      </c>
      <c r="H18" s="134"/>
      <c r="I18" s="142">
        <f>I19+I20+I21</f>
        <v>42074925</v>
      </c>
      <c r="J18" s="134"/>
      <c r="K18" s="142">
        <f>K19+K20+K21</f>
        <v>42074925</v>
      </c>
      <c r="L18" s="141">
        <f>L19+L20+L21</f>
        <v>39788668</v>
      </c>
      <c r="M18" s="133"/>
      <c r="N18" s="141">
        <f>N19+N20+N21</f>
        <v>39788668</v>
      </c>
      <c r="O18" s="133"/>
      <c r="P18" s="141">
        <f>P19+P20+P21</f>
        <v>39788668</v>
      </c>
      <c r="Q18" s="134"/>
      <c r="R18" s="142">
        <f>R19+R20+R21</f>
        <v>39788668</v>
      </c>
      <c r="S18" s="141">
        <f>S19+S20+S21</f>
        <v>39768431</v>
      </c>
      <c r="T18" s="133"/>
      <c r="U18" s="141">
        <f>U19+U20+U21</f>
        <v>39768431</v>
      </c>
      <c r="V18" s="133"/>
      <c r="W18" s="141">
        <f>W19+W20+W21</f>
        <v>39768431</v>
      </c>
      <c r="X18" s="134"/>
      <c r="Y18" s="142">
        <f>Y19+Y20+Y21</f>
        <v>39768431</v>
      </c>
      <c r="Z18" s="84"/>
      <c r="AA18" s="84"/>
    </row>
    <row r="19" spans="1:27" s="17" customFormat="1">
      <c r="A19" s="143" t="s">
        <v>29</v>
      </c>
      <c r="B19" s="135" t="s">
        <v>30</v>
      </c>
      <c r="C19" s="141">
        <v>8032000</v>
      </c>
      <c r="D19" s="141"/>
      <c r="E19" s="141">
        <v>8032000</v>
      </c>
      <c r="F19" s="134"/>
      <c r="G19" s="142">
        <v>8032000</v>
      </c>
      <c r="H19" s="134"/>
      <c r="I19" s="142">
        <v>8032000</v>
      </c>
      <c r="J19" s="134"/>
      <c r="K19" s="142">
        <v>8032000</v>
      </c>
      <c r="L19" s="148">
        <v>5766000</v>
      </c>
      <c r="M19" s="149"/>
      <c r="N19" s="148">
        <v>5766000</v>
      </c>
      <c r="O19" s="149"/>
      <c r="P19" s="148">
        <v>5766000</v>
      </c>
      <c r="Q19" s="199"/>
      <c r="R19" s="198">
        <v>5766000</v>
      </c>
      <c r="S19" s="148">
        <v>5766000</v>
      </c>
      <c r="T19" s="149"/>
      <c r="U19" s="148">
        <v>5766000</v>
      </c>
      <c r="V19" s="149"/>
      <c r="W19" s="148">
        <v>5766000</v>
      </c>
      <c r="X19" s="199"/>
      <c r="Y19" s="198">
        <v>5766000</v>
      </c>
      <c r="Z19" s="84"/>
      <c r="AA19" s="84"/>
    </row>
    <row r="20" spans="1:27" s="17" customFormat="1">
      <c r="A20" s="143" t="s">
        <v>31</v>
      </c>
      <c r="B20" s="150" t="s">
        <v>32</v>
      </c>
      <c r="C20" s="141">
        <v>20256925</v>
      </c>
      <c r="D20" s="141"/>
      <c r="E20" s="141">
        <v>20256925</v>
      </c>
      <c r="F20" s="134"/>
      <c r="G20" s="142">
        <v>20256925</v>
      </c>
      <c r="H20" s="134"/>
      <c r="I20" s="142">
        <v>20256925</v>
      </c>
      <c r="J20" s="134"/>
      <c r="K20" s="142">
        <v>20256925</v>
      </c>
      <c r="L20" s="148">
        <v>20236668</v>
      </c>
      <c r="M20" s="149"/>
      <c r="N20" s="148">
        <v>20236668</v>
      </c>
      <c r="O20" s="149"/>
      <c r="P20" s="148">
        <v>20236668</v>
      </c>
      <c r="Q20" s="199"/>
      <c r="R20" s="198">
        <v>20236668</v>
      </c>
      <c r="S20" s="148">
        <v>20216431</v>
      </c>
      <c r="T20" s="149"/>
      <c r="U20" s="148">
        <v>20216431</v>
      </c>
      <c r="V20" s="149"/>
      <c r="W20" s="148">
        <v>20216431</v>
      </c>
      <c r="X20" s="199"/>
      <c r="Y20" s="198">
        <v>20216431</v>
      </c>
      <c r="Z20" s="84"/>
      <c r="AA20" s="84"/>
    </row>
    <row r="21" spans="1:27" s="17" customFormat="1">
      <c r="A21" s="143" t="s">
        <v>33</v>
      </c>
      <c r="B21" s="135" t="s">
        <v>34</v>
      </c>
      <c r="C21" s="141">
        <v>13786000</v>
      </c>
      <c r="D21" s="141"/>
      <c r="E21" s="141">
        <v>13786000</v>
      </c>
      <c r="F21" s="134"/>
      <c r="G21" s="142">
        <v>13786000</v>
      </c>
      <c r="H21" s="134"/>
      <c r="I21" s="142">
        <v>13786000</v>
      </c>
      <c r="J21" s="134"/>
      <c r="K21" s="142">
        <v>13786000</v>
      </c>
      <c r="L21" s="148">
        <v>13786000</v>
      </c>
      <c r="M21" s="149"/>
      <c r="N21" s="148">
        <v>13786000</v>
      </c>
      <c r="O21" s="149"/>
      <c r="P21" s="148">
        <v>13786000</v>
      </c>
      <c r="Q21" s="199"/>
      <c r="R21" s="198">
        <v>13786000</v>
      </c>
      <c r="S21" s="148">
        <v>13786000</v>
      </c>
      <c r="T21" s="149"/>
      <c r="U21" s="148">
        <v>13786000</v>
      </c>
      <c r="V21" s="149"/>
      <c r="W21" s="148">
        <v>13786000</v>
      </c>
      <c r="X21" s="199"/>
      <c r="Y21" s="198">
        <v>13786000</v>
      </c>
      <c r="Z21" s="84"/>
      <c r="AA21" s="84"/>
    </row>
    <row r="22" spans="1:27" s="17" customFormat="1" ht="13.8">
      <c r="A22" s="143"/>
      <c r="B22" s="135"/>
      <c r="C22" s="151"/>
      <c r="D22" s="151"/>
      <c r="E22" s="151"/>
      <c r="F22" s="152"/>
      <c r="G22" s="153"/>
      <c r="H22" s="152"/>
      <c r="I22" s="153"/>
      <c r="J22" s="152"/>
      <c r="K22" s="153"/>
      <c r="L22" s="146"/>
      <c r="M22" s="146"/>
      <c r="N22" s="146"/>
      <c r="O22" s="146"/>
      <c r="P22" s="146"/>
      <c r="Q22" s="197"/>
      <c r="R22" s="197"/>
      <c r="S22" s="146"/>
      <c r="T22" s="146"/>
      <c r="U22" s="146"/>
      <c r="V22" s="146"/>
      <c r="W22" s="146"/>
      <c r="X22" s="197"/>
      <c r="Y22" s="197"/>
      <c r="Z22" s="84"/>
      <c r="AA22" s="84"/>
    </row>
    <row r="23" spans="1:27" s="17" customFormat="1">
      <c r="A23" s="147" t="s">
        <v>35</v>
      </c>
      <c r="B23" s="135" t="s">
        <v>36</v>
      </c>
      <c r="C23" s="141">
        <f>C24+C25+C26</f>
        <v>3031000</v>
      </c>
      <c r="D23" s="141"/>
      <c r="E23" s="141">
        <f>E24+E25+E26</f>
        <v>3031000</v>
      </c>
      <c r="F23" s="134"/>
      <c r="G23" s="142">
        <f>G24+G25+G26</f>
        <v>3031000</v>
      </c>
      <c r="H23" s="134"/>
      <c r="I23" s="142">
        <f>I24+I25+I26</f>
        <v>3031000</v>
      </c>
      <c r="J23" s="134"/>
      <c r="K23" s="142">
        <f>K24+K25+K26</f>
        <v>3031000</v>
      </c>
      <c r="L23" s="141">
        <f>L24+L25+L26</f>
        <v>3122000</v>
      </c>
      <c r="M23" s="133"/>
      <c r="N23" s="141">
        <f>N24+N25+N26</f>
        <v>3122000</v>
      </c>
      <c r="O23" s="133"/>
      <c r="P23" s="141">
        <f>P24+P25+P26</f>
        <v>3122000</v>
      </c>
      <c r="Q23" s="134"/>
      <c r="R23" s="142">
        <f>R24+R25+R26</f>
        <v>3122000</v>
      </c>
      <c r="S23" s="141">
        <f>S24+S25+S26</f>
        <v>3229000</v>
      </c>
      <c r="T23" s="133"/>
      <c r="U23" s="141">
        <f>U24+U25+U26</f>
        <v>3229000</v>
      </c>
      <c r="V23" s="133"/>
      <c r="W23" s="141">
        <f>W24+W25+W26</f>
        <v>3229000</v>
      </c>
      <c r="X23" s="134"/>
      <c r="Y23" s="142">
        <f>Y24+Y25+Y26</f>
        <v>3229000</v>
      </c>
      <c r="Z23" s="84"/>
      <c r="AA23" s="84"/>
    </row>
    <row r="24" spans="1:27" s="17" customFormat="1" ht="31.95" customHeight="1">
      <c r="A24" s="143" t="s">
        <v>37</v>
      </c>
      <c r="B24" s="135" t="s">
        <v>38</v>
      </c>
      <c r="C24" s="141">
        <f>3031000-C25-C26</f>
        <v>2406000</v>
      </c>
      <c r="D24" s="141"/>
      <c r="E24" s="141">
        <f>3031000-E25-E26</f>
        <v>2406000</v>
      </c>
      <c r="F24" s="134"/>
      <c r="G24" s="142">
        <f>3031000-G25-G26</f>
        <v>2406000</v>
      </c>
      <c r="H24" s="134"/>
      <c r="I24" s="142">
        <f>3031000-I25-I26</f>
        <v>2406000</v>
      </c>
      <c r="J24" s="134"/>
      <c r="K24" s="142">
        <f>3031000-K25-K26</f>
        <v>2406000</v>
      </c>
      <c r="L24" s="141">
        <f>3122000-L25-L26</f>
        <v>2502000</v>
      </c>
      <c r="M24" s="133"/>
      <c r="N24" s="141">
        <f>3122000-N25-N26</f>
        <v>2502000</v>
      </c>
      <c r="O24" s="133"/>
      <c r="P24" s="141">
        <f>3122000-P25-P26</f>
        <v>2502000</v>
      </c>
      <c r="Q24" s="134"/>
      <c r="R24" s="142">
        <f>3122000-R25-R26</f>
        <v>2502000</v>
      </c>
      <c r="S24" s="141">
        <f>3229000-S25-S26</f>
        <v>2579000</v>
      </c>
      <c r="T24" s="133"/>
      <c r="U24" s="141">
        <f>3229000-U25-U26</f>
        <v>2579000</v>
      </c>
      <c r="V24" s="133"/>
      <c r="W24" s="141">
        <f>3229000-W25-W26</f>
        <v>2579000</v>
      </c>
      <c r="X24" s="134"/>
      <c r="Y24" s="142">
        <f>3229000-Y25-Y26</f>
        <v>2579000</v>
      </c>
      <c r="Z24" s="84"/>
      <c r="AA24" s="84"/>
    </row>
    <row r="25" spans="1:27" s="17" customFormat="1" ht="45" customHeight="1">
      <c r="A25" s="143" t="s">
        <v>39</v>
      </c>
      <c r="B25" s="135" t="s">
        <v>40</v>
      </c>
      <c r="C25" s="141">
        <v>125000</v>
      </c>
      <c r="D25" s="141"/>
      <c r="E25" s="141">
        <v>125000</v>
      </c>
      <c r="F25" s="134"/>
      <c r="G25" s="142">
        <v>125000</v>
      </c>
      <c r="H25" s="134"/>
      <c r="I25" s="142">
        <v>125000</v>
      </c>
      <c r="J25" s="134"/>
      <c r="K25" s="142">
        <v>125000</v>
      </c>
      <c r="L25" s="141">
        <v>120000</v>
      </c>
      <c r="M25" s="133"/>
      <c r="N25" s="141">
        <v>120000</v>
      </c>
      <c r="O25" s="133"/>
      <c r="P25" s="141">
        <v>120000</v>
      </c>
      <c r="Q25" s="134"/>
      <c r="R25" s="142">
        <v>120000</v>
      </c>
      <c r="S25" s="141">
        <v>150000</v>
      </c>
      <c r="T25" s="133"/>
      <c r="U25" s="141">
        <v>150000</v>
      </c>
      <c r="V25" s="133"/>
      <c r="W25" s="141">
        <v>150000</v>
      </c>
      <c r="X25" s="134"/>
      <c r="Y25" s="142">
        <v>150000</v>
      </c>
      <c r="Z25" s="84"/>
      <c r="AA25" s="84"/>
    </row>
    <row r="26" spans="1:27" s="17" customFormat="1" ht="39.6">
      <c r="A26" s="143" t="s">
        <v>41</v>
      </c>
      <c r="B26" s="135" t="s">
        <v>42</v>
      </c>
      <c r="C26" s="141">
        <v>500000</v>
      </c>
      <c r="D26" s="141"/>
      <c r="E26" s="141">
        <v>500000</v>
      </c>
      <c r="F26" s="134"/>
      <c r="G26" s="142">
        <v>500000</v>
      </c>
      <c r="H26" s="134"/>
      <c r="I26" s="142">
        <v>500000</v>
      </c>
      <c r="J26" s="134"/>
      <c r="K26" s="142">
        <v>500000</v>
      </c>
      <c r="L26" s="141">
        <v>500000</v>
      </c>
      <c r="M26" s="133"/>
      <c r="N26" s="141">
        <v>500000</v>
      </c>
      <c r="O26" s="133"/>
      <c r="P26" s="141">
        <v>500000</v>
      </c>
      <c r="Q26" s="134"/>
      <c r="R26" s="142">
        <v>500000</v>
      </c>
      <c r="S26" s="141">
        <v>500000</v>
      </c>
      <c r="T26" s="133"/>
      <c r="U26" s="141">
        <v>500000</v>
      </c>
      <c r="V26" s="133"/>
      <c r="W26" s="141">
        <v>500000</v>
      </c>
      <c r="X26" s="134"/>
      <c r="Y26" s="142">
        <v>500000</v>
      </c>
      <c r="Z26" s="84"/>
      <c r="AA26" s="84"/>
    </row>
    <row r="27" spans="1:27" s="17" customFormat="1" ht="13.8">
      <c r="A27" s="143"/>
      <c r="B27" s="135"/>
      <c r="C27" s="151"/>
      <c r="D27" s="151"/>
      <c r="E27" s="151"/>
      <c r="F27" s="152"/>
      <c r="G27" s="153"/>
      <c r="H27" s="152"/>
      <c r="I27" s="153"/>
      <c r="J27" s="152"/>
      <c r="K27" s="153"/>
      <c r="L27" s="146"/>
      <c r="M27" s="146"/>
      <c r="N27" s="146"/>
      <c r="O27" s="146"/>
      <c r="P27" s="146"/>
      <c r="Q27" s="197"/>
      <c r="R27" s="197"/>
      <c r="S27" s="146"/>
      <c r="T27" s="146"/>
      <c r="U27" s="146"/>
      <c r="V27" s="146"/>
      <c r="W27" s="146"/>
      <c r="X27" s="197"/>
      <c r="Y27" s="197"/>
      <c r="Z27" s="84"/>
      <c r="AA27" s="84"/>
    </row>
    <row r="28" spans="1:27" s="17" customFormat="1" ht="39.6">
      <c r="A28" s="140" t="s">
        <v>43</v>
      </c>
      <c r="B28" s="135" t="s">
        <v>44</v>
      </c>
      <c r="C28" s="141">
        <f>C29+C30</f>
        <v>20237000</v>
      </c>
      <c r="D28" s="141"/>
      <c r="E28" s="141">
        <f>E29+E30</f>
        <v>20237000</v>
      </c>
      <c r="F28" s="134"/>
      <c r="G28" s="142">
        <f>G29+G30</f>
        <v>20237000</v>
      </c>
      <c r="H28" s="134"/>
      <c r="I28" s="142">
        <f>I29+I30</f>
        <v>20237000</v>
      </c>
      <c r="J28" s="134"/>
      <c r="K28" s="142">
        <f>K29+K30</f>
        <v>20237000</v>
      </c>
      <c r="L28" s="141">
        <f>L29+L30</f>
        <v>20205000</v>
      </c>
      <c r="M28" s="133"/>
      <c r="N28" s="141">
        <f>N29+N30</f>
        <v>20205000</v>
      </c>
      <c r="O28" s="133"/>
      <c r="P28" s="141">
        <f>P29+P30</f>
        <v>20205000</v>
      </c>
      <c r="Q28" s="134"/>
      <c r="R28" s="142">
        <f>R29+R30</f>
        <v>20205000</v>
      </c>
      <c r="S28" s="141">
        <f>S29+S30</f>
        <v>20205000</v>
      </c>
      <c r="T28" s="133"/>
      <c r="U28" s="141">
        <f>U29+U30</f>
        <v>20205000</v>
      </c>
      <c r="V28" s="133"/>
      <c r="W28" s="141">
        <f>W29+W30</f>
        <v>20205000</v>
      </c>
      <c r="X28" s="134"/>
      <c r="Y28" s="142">
        <f>Y29+Y30</f>
        <v>20205000</v>
      </c>
      <c r="Z28" s="84"/>
      <c r="AA28" s="84"/>
    </row>
    <row r="29" spans="1:27" ht="92.4">
      <c r="A29" s="143" t="s">
        <v>45</v>
      </c>
      <c r="B29" s="135" t="s">
        <v>46</v>
      </c>
      <c r="C29" s="141">
        <f>7300000+1100000+1803000</f>
        <v>10203000</v>
      </c>
      <c r="D29" s="141"/>
      <c r="E29" s="141">
        <f>7300000+1100000+1803000</f>
        <v>10203000</v>
      </c>
      <c r="F29" s="134"/>
      <c r="G29" s="142">
        <f>7300000+1100000+1803000</f>
        <v>10203000</v>
      </c>
      <c r="H29" s="134"/>
      <c r="I29" s="142">
        <f>7300000+1100000+1803000</f>
        <v>10203000</v>
      </c>
      <c r="J29" s="134"/>
      <c r="K29" s="142">
        <f>7300000+1100000+1803000</f>
        <v>10203000</v>
      </c>
      <c r="L29" s="141">
        <f>7300000+1100000+1771000</f>
        <v>10171000</v>
      </c>
      <c r="M29" s="133"/>
      <c r="N29" s="141">
        <f>7300000+1100000+1771000</f>
        <v>10171000</v>
      </c>
      <c r="O29" s="133"/>
      <c r="P29" s="141">
        <f>7300000+1100000+1771000</f>
        <v>10171000</v>
      </c>
      <c r="Q29" s="134"/>
      <c r="R29" s="142">
        <f>7300000+1100000+1771000</f>
        <v>10171000</v>
      </c>
      <c r="S29" s="141">
        <f>7300000+1100000+1771000</f>
        <v>10171000</v>
      </c>
      <c r="T29" s="133"/>
      <c r="U29" s="141">
        <f>7300000+1100000+1771000</f>
        <v>10171000</v>
      </c>
      <c r="V29" s="133"/>
      <c r="W29" s="141">
        <f>7300000+1100000+1771000</f>
        <v>10171000</v>
      </c>
      <c r="X29" s="134"/>
      <c r="Y29" s="142">
        <f>7300000+1100000+1771000</f>
        <v>10171000</v>
      </c>
    </row>
    <row r="30" spans="1:27" ht="79.2">
      <c r="A30" s="154" t="s">
        <v>47</v>
      </c>
      <c r="B30" s="135" t="s">
        <v>48</v>
      </c>
      <c r="C30" s="141">
        <v>10034000</v>
      </c>
      <c r="D30" s="141"/>
      <c r="E30" s="141">
        <v>10034000</v>
      </c>
      <c r="F30" s="134"/>
      <c r="G30" s="142">
        <v>10034000</v>
      </c>
      <c r="H30" s="134"/>
      <c r="I30" s="142">
        <v>10034000</v>
      </c>
      <c r="J30" s="134"/>
      <c r="K30" s="142">
        <v>10034000</v>
      </c>
      <c r="L30" s="141">
        <v>10034000</v>
      </c>
      <c r="M30" s="133"/>
      <c r="N30" s="141">
        <v>10034000</v>
      </c>
      <c r="O30" s="133"/>
      <c r="P30" s="141">
        <v>10034000</v>
      </c>
      <c r="Q30" s="134"/>
      <c r="R30" s="142">
        <v>10034000</v>
      </c>
      <c r="S30" s="141">
        <v>10034000</v>
      </c>
      <c r="T30" s="133"/>
      <c r="U30" s="141">
        <v>10034000</v>
      </c>
      <c r="V30" s="133"/>
      <c r="W30" s="141">
        <v>10034000</v>
      </c>
      <c r="X30" s="134"/>
      <c r="Y30" s="142">
        <v>10034000</v>
      </c>
    </row>
    <row r="31" spans="1:27">
      <c r="A31" s="154"/>
      <c r="B31" s="135"/>
      <c r="C31" s="141"/>
      <c r="D31" s="141"/>
      <c r="E31" s="141"/>
      <c r="F31" s="134"/>
      <c r="G31" s="142"/>
      <c r="H31" s="134"/>
      <c r="I31" s="142"/>
      <c r="J31" s="134"/>
      <c r="K31" s="142"/>
      <c r="L31" s="146"/>
      <c r="M31" s="146"/>
      <c r="N31" s="146"/>
      <c r="O31" s="146"/>
      <c r="P31" s="146"/>
      <c r="Q31" s="197"/>
      <c r="R31" s="197"/>
      <c r="S31" s="146"/>
      <c r="T31" s="146"/>
      <c r="U31" s="146"/>
      <c r="V31" s="146"/>
      <c r="W31" s="146"/>
      <c r="X31" s="197"/>
      <c r="Y31" s="197"/>
      <c r="Z31" s="175"/>
    </row>
    <row r="32" spans="1:27" ht="26.4">
      <c r="A32" s="147" t="s">
        <v>49</v>
      </c>
      <c r="B32" s="135" t="s">
        <v>50</v>
      </c>
      <c r="C32" s="141">
        <v>315156</v>
      </c>
      <c r="D32" s="141"/>
      <c r="E32" s="141">
        <v>315156</v>
      </c>
      <c r="F32" s="134"/>
      <c r="G32" s="142">
        <v>315156</v>
      </c>
      <c r="H32" s="134"/>
      <c r="I32" s="142">
        <v>315156</v>
      </c>
      <c r="J32" s="134"/>
      <c r="K32" s="142">
        <v>315156</v>
      </c>
      <c r="L32" s="141">
        <v>315156</v>
      </c>
      <c r="M32" s="133"/>
      <c r="N32" s="141">
        <v>315156</v>
      </c>
      <c r="O32" s="133"/>
      <c r="P32" s="141">
        <v>315156</v>
      </c>
      <c r="Q32" s="134"/>
      <c r="R32" s="142">
        <v>315156</v>
      </c>
      <c r="S32" s="141">
        <v>315156</v>
      </c>
      <c r="T32" s="133"/>
      <c r="U32" s="141">
        <v>315156</v>
      </c>
      <c r="V32" s="133"/>
      <c r="W32" s="141">
        <v>315156</v>
      </c>
      <c r="X32" s="134"/>
      <c r="Y32" s="142">
        <v>315156</v>
      </c>
      <c r="Z32" s="176"/>
    </row>
    <row r="33" spans="1:27">
      <c r="A33" s="143"/>
      <c r="B33" s="135"/>
      <c r="C33" s="141"/>
      <c r="D33" s="141"/>
      <c r="E33" s="141"/>
      <c r="F33" s="134"/>
      <c r="G33" s="142"/>
      <c r="H33" s="134"/>
      <c r="I33" s="142"/>
      <c r="J33" s="134"/>
      <c r="K33" s="142"/>
      <c r="L33" s="141"/>
      <c r="M33" s="133"/>
      <c r="N33" s="141"/>
      <c r="O33" s="133"/>
      <c r="P33" s="141"/>
      <c r="Q33" s="134"/>
      <c r="R33" s="142"/>
      <c r="S33" s="141"/>
      <c r="T33" s="133"/>
      <c r="U33" s="141"/>
      <c r="V33" s="133"/>
      <c r="W33" s="141"/>
      <c r="X33" s="134"/>
      <c r="Y33" s="142"/>
      <c r="Z33" s="175"/>
    </row>
    <row r="34" spans="1:27" s="34" customFormat="1" ht="26.4">
      <c r="A34" s="147" t="s">
        <v>51</v>
      </c>
      <c r="B34" s="135" t="s">
        <v>52</v>
      </c>
      <c r="C34" s="141">
        <f>C35</f>
        <v>200000</v>
      </c>
      <c r="D34" s="141"/>
      <c r="E34" s="141">
        <f>E35</f>
        <v>200000</v>
      </c>
      <c r="F34" s="134"/>
      <c r="G34" s="142">
        <f>G35</f>
        <v>200000</v>
      </c>
      <c r="H34" s="134"/>
      <c r="I34" s="142">
        <f>I35</f>
        <v>200000</v>
      </c>
      <c r="J34" s="134"/>
      <c r="K34" s="142">
        <f>K35</f>
        <v>200000</v>
      </c>
      <c r="L34" s="141">
        <f>L35</f>
        <v>200000</v>
      </c>
      <c r="M34" s="133"/>
      <c r="N34" s="141">
        <f>N35</f>
        <v>200000</v>
      </c>
      <c r="O34" s="133"/>
      <c r="P34" s="141">
        <f>P35</f>
        <v>200000</v>
      </c>
      <c r="Q34" s="134"/>
      <c r="R34" s="142">
        <f>R35</f>
        <v>200000</v>
      </c>
      <c r="S34" s="141">
        <f>S35</f>
        <v>200000</v>
      </c>
      <c r="T34" s="133"/>
      <c r="U34" s="141">
        <f>U35</f>
        <v>200000</v>
      </c>
      <c r="V34" s="133"/>
      <c r="W34" s="141">
        <f>W35</f>
        <v>200000</v>
      </c>
      <c r="X34" s="134"/>
      <c r="Y34" s="142">
        <f>Y35</f>
        <v>200000</v>
      </c>
      <c r="Z34" s="84"/>
      <c r="AA34" s="177"/>
    </row>
    <row r="35" spans="1:27" s="34" customFormat="1">
      <c r="A35" s="143" t="s">
        <v>53</v>
      </c>
      <c r="B35" s="135" t="s">
        <v>54</v>
      </c>
      <c r="C35" s="141">
        <v>200000</v>
      </c>
      <c r="D35" s="141"/>
      <c r="E35" s="141">
        <v>200000</v>
      </c>
      <c r="F35" s="134"/>
      <c r="G35" s="142">
        <v>200000</v>
      </c>
      <c r="H35" s="134"/>
      <c r="I35" s="142">
        <v>200000</v>
      </c>
      <c r="J35" s="134"/>
      <c r="K35" s="142">
        <v>200000</v>
      </c>
      <c r="L35" s="141">
        <v>200000</v>
      </c>
      <c r="M35" s="133"/>
      <c r="N35" s="141">
        <v>200000</v>
      </c>
      <c r="O35" s="133"/>
      <c r="P35" s="141">
        <v>200000</v>
      </c>
      <c r="Q35" s="134"/>
      <c r="R35" s="142">
        <v>200000</v>
      </c>
      <c r="S35" s="141">
        <v>200000</v>
      </c>
      <c r="T35" s="133"/>
      <c r="U35" s="141">
        <v>200000</v>
      </c>
      <c r="V35" s="133"/>
      <c r="W35" s="141">
        <v>200000</v>
      </c>
      <c r="X35" s="134"/>
      <c r="Y35" s="142">
        <v>200000</v>
      </c>
      <c r="Z35" s="84"/>
      <c r="AA35" s="177"/>
    </row>
    <row r="36" spans="1:27" s="34" customFormat="1">
      <c r="A36" s="143"/>
      <c r="B36" s="135"/>
      <c r="C36" s="141"/>
      <c r="D36" s="141"/>
      <c r="E36" s="141"/>
      <c r="F36" s="134"/>
      <c r="G36" s="142"/>
      <c r="H36" s="134"/>
      <c r="I36" s="142"/>
      <c r="J36" s="134"/>
      <c r="K36" s="142"/>
      <c r="L36" s="141"/>
      <c r="M36" s="133"/>
      <c r="N36" s="141"/>
      <c r="O36" s="133"/>
      <c r="P36" s="141"/>
      <c r="Q36" s="134"/>
      <c r="R36" s="142"/>
      <c r="S36" s="141"/>
      <c r="T36" s="133"/>
      <c r="U36" s="141"/>
      <c r="V36" s="133"/>
      <c r="W36" s="141"/>
      <c r="X36" s="134"/>
      <c r="Y36" s="142"/>
      <c r="Z36" s="84"/>
      <c r="AA36" s="177"/>
    </row>
    <row r="37" spans="1:27" s="34" customFormat="1" ht="26.4">
      <c r="A37" s="147" t="s">
        <v>55</v>
      </c>
      <c r="B37" s="135" t="s">
        <v>56</v>
      </c>
      <c r="C37" s="141">
        <f>C38+C39</f>
        <v>1595000</v>
      </c>
      <c r="D37" s="141"/>
      <c r="E37" s="141">
        <f>E38+E39</f>
        <v>1595000</v>
      </c>
      <c r="F37" s="134"/>
      <c r="G37" s="142">
        <f>G38+G39</f>
        <v>1595000</v>
      </c>
      <c r="H37" s="134"/>
      <c r="I37" s="142">
        <f>I38+I39</f>
        <v>1595000</v>
      </c>
      <c r="J37" s="134"/>
      <c r="K37" s="142">
        <f>K38+K39</f>
        <v>1595000</v>
      </c>
      <c r="L37" s="141">
        <f>L38+L39</f>
        <v>1241000</v>
      </c>
      <c r="M37" s="133"/>
      <c r="N37" s="141">
        <f>N38+N39</f>
        <v>1241000</v>
      </c>
      <c r="O37" s="133"/>
      <c r="P37" s="141">
        <f>P38+P39</f>
        <v>1241000</v>
      </c>
      <c r="Q37" s="134"/>
      <c r="R37" s="142">
        <f>R38+R39</f>
        <v>1241000</v>
      </c>
      <c r="S37" s="141">
        <f>S38+S39</f>
        <v>1180000</v>
      </c>
      <c r="T37" s="133"/>
      <c r="U37" s="141">
        <f>U38+U39</f>
        <v>1180000</v>
      </c>
      <c r="V37" s="133"/>
      <c r="W37" s="141">
        <f>W38+W39</f>
        <v>1180000</v>
      </c>
      <c r="X37" s="134"/>
      <c r="Y37" s="142">
        <f>Y38+Y39</f>
        <v>1180000</v>
      </c>
      <c r="Z37" s="84"/>
      <c r="AA37" s="177"/>
    </row>
    <row r="38" spans="1:27" s="34" customFormat="1" ht="79.2">
      <c r="A38" s="143" t="s">
        <v>57</v>
      </c>
      <c r="B38" s="135" t="s">
        <v>58</v>
      </c>
      <c r="C38" s="141">
        <v>595000</v>
      </c>
      <c r="D38" s="141"/>
      <c r="E38" s="141">
        <v>595000</v>
      </c>
      <c r="F38" s="134"/>
      <c r="G38" s="142">
        <v>595000</v>
      </c>
      <c r="H38" s="134"/>
      <c r="I38" s="142">
        <v>595000</v>
      </c>
      <c r="J38" s="134"/>
      <c r="K38" s="142">
        <v>595000</v>
      </c>
      <c r="L38" s="141">
        <v>241000</v>
      </c>
      <c r="M38" s="133"/>
      <c r="N38" s="141">
        <v>241000</v>
      </c>
      <c r="O38" s="133"/>
      <c r="P38" s="141">
        <v>241000</v>
      </c>
      <c r="Q38" s="134"/>
      <c r="R38" s="142">
        <v>241000</v>
      </c>
      <c r="S38" s="141">
        <v>180000</v>
      </c>
      <c r="T38" s="133"/>
      <c r="U38" s="141">
        <v>180000</v>
      </c>
      <c r="V38" s="133"/>
      <c r="W38" s="141">
        <v>180000</v>
      </c>
      <c r="X38" s="134"/>
      <c r="Y38" s="142">
        <v>180000</v>
      </c>
      <c r="Z38" s="176"/>
      <c r="AA38" s="177"/>
    </row>
    <row r="39" spans="1:27" s="34" customFormat="1" ht="39.6">
      <c r="A39" s="143" t="s">
        <v>59</v>
      </c>
      <c r="B39" s="135" t="s">
        <v>60</v>
      </c>
      <c r="C39" s="141">
        <v>1000000</v>
      </c>
      <c r="D39" s="141"/>
      <c r="E39" s="141">
        <v>1000000</v>
      </c>
      <c r="F39" s="134"/>
      <c r="G39" s="142">
        <v>1000000</v>
      </c>
      <c r="H39" s="134"/>
      <c r="I39" s="142">
        <v>1000000</v>
      </c>
      <c r="J39" s="134"/>
      <c r="K39" s="142">
        <v>1000000</v>
      </c>
      <c r="L39" s="141">
        <v>1000000</v>
      </c>
      <c r="M39" s="133"/>
      <c r="N39" s="141">
        <v>1000000</v>
      </c>
      <c r="O39" s="133"/>
      <c r="P39" s="141">
        <v>1000000</v>
      </c>
      <c r="Q39" s="134"/>
      <c r="R39" s="142">
        <v>1000000</v>
      </c>
      <c r="S39" s="141">
        <v>1000000</v>
      </c>
      <c r="T39" s="133"/>
      <c r="U39" s="141">
        <v>1000000</v>
      </c>
      <c r="V39" s="133"/>
      <c r="W39" s="141">
        <v>1000000</v>
      </c>
      <c r="X39" s="134"/>
      <c r="Y39" s="142">
        <v>1000000</v>
      </c>
      <c r="Z39" s="176"/>
      <c r="AA39" s="177"/>
    </row>
    <row r="40" spans="1:27" s="34" customFormat="1">
      <c r="A40" s="143"/>
      <c r="B40" s="135"/>
      <c r="C40" s="141"/>
      <c r="D40" s="141"/>
      <c r="E40" s="141"/>
      <c r="F40" s="134"/>
      <c r="G40" s="142"/>
      <c r="H40" s="134"/>
      <c r="I40" s="142"/>
      <c r="J40" s="134"/>
      <c r="K40" s="142"/>
      <c r="L40" s="146"/>
      <c r="M40" s="146"/>
      <c r="N40" s="146"/>
      <c r="O40" s="146"/>
      <c r="P40" s="146"/>
      <c r="Q40" s="197"/>
      <c r="R40" s="197"/>
      <c r="S40" s="146"/>
      <c r="T40" s="146"/>
      <c r="U40" s="146"/>
      <c r="V40" s="146"/>
      <c r="W40" s="146"/>
      <c r="X40" s="197"/>
      <c r="Y40" s="197"/>
      <c r="Z40" s="84"/>
      <c r="AA40" s="177"/>
    </row>
    <row r="41" spans="1:27" s="34" customFormat="1">
      <c r="A41" s="147" t="s">
        <v>61</v>
      </c>
      <c r="B41" s="135" t="s">
        <v>62</v>
      </c>
      <c r="C41" s="141">
        <v>2091000</v>
      </c>
      <c r="D41" s="141"/>
      <c r="E41" s="141">
        <v>2091000</v>
      </c>
      <c r="F41" s="134"/>
      <c r="G41" s="142">
        <v>2091000</v>
      </c>
      <c r="H41" s="134"/>
      <c r="I41" s="142">
        <v>2091000</v>
      </c>
      <c r="J41" s="134"/>
      <c r="K41" s="142">
        <v>2091000</v>
      </c>
      <c r="L41" s="141">
        <v>2091000</v>
      </c>
      <c r="M41" s="133"/>
      <c r="N41" s="141">
        <v>2091000</v>
      </c>
      <c r="O41" s="133"/>
      <c r="P41" s="141">
        <v>2091000</v>
      </c>
      <c r="Q41" s="134"/>
      <c r="R41" s="142">
        <v>2091000</v>
      </c>
      <c r="S41" s="141">
        <v>2091000</v>
      </c>
      <c r="T41" s="133"/>
      <c r="U41" s="141">
        <v>2091000</v>
      </c>
      <c r="V41" s="133"/>
      <c r="W41" s="141">
        <v>2091000</v>
      </c>
      <c r="X41" s="134"/>
      <c r="Y41" s="142">
        <v>2091000</v>
      </c>
      <c r="Z41" s="84"/>
      <c r="AA41" s="177"/>
    </row>
    <row r="42" spans="1:27" s="34" customFormat="1">
      <c r="A42" s="143"/>
      <c r="B42" s="135"/>
      <c r="C42" s="141"/>
      <c r="D42" s="141"/>
      <c r="E42" s="141"/>
      <c r="F42" s="134"/>
      <c r="G42" s="142"/>
      <c r="H42" s="134"/>
      <c r="I42" s="142"/>
      <c r="J42" s="134"/>
      <c r="K42" s="142"/>
      <c r="L42" s="141"/>
      <c r="M42" s="133"/>
      <c r="N42" s="141"/>
      <c r="O42" s="133"/>
      <c r="P42" s="141"/>
      <c r="Q42" s="134"/>
      <c r="R42" s="142"/>
      <c r="S42" s="141"/>
      <c r="T42" s="133"/>
      <c r="U42" s="141"/>
      <c r="V42" s="133"/>
      <c r="W42" s="141"/>
      <c r="X42" s="134"/>
      <c r="Y42" s="142"/>
      <c r="Z42" s="84"/>
      <c r="AA42" s="177"/>
    </row>
    <row r="43" spans="1:27" s="34" customFormat="1">
      <c r="A43" s="147" t="s">
        <v>63</v>
      </c>
      <c r="B43" s="135" t="s">
        <v>64</v>
      </c>
      <c r="C43" s="141">
        <v>0</v>
      </c>
      <c r="D43" s="141"/>
      <c r="E43" s="141">
        <v>0</v>
      </c>
      <c r="F43" s="134"/>
      <c r="G43" s="142">
        <v>0</v>
      </c>
      <c r="H43" s="134"/>
      <c r="I43" s="142">
        <v>0</v>
      </c>
      <c r="J43" s="134"/>
      <c r="K43" s="142">
        <v>0</v>
      </c>
      <c r="L43" s="141">
        <v>0</v>
      </c>
      <c r="M43" s="133"/>
      <c r="N43" s="141">
        <v>0</v>
      </c>
      <c r="O43" s="133"/>
      <c r="P43" s="141">
        <v>0</v>
      </c>
      <c r="Q43" s="134"/>
      <c r="R43" s="142">
        <v>0</v>
      </c>
      <c r="S43" s="141">
        <v>0</v>
      </c>
      <c r="T43" s="133"/>
      <c r="U43" s="141">
        <v>0</v>
      </c>
      <c r="V43" s="133"/>
      <c r="W43" s="141">
        <v>0</v>
      </c>
      <c r="X43" s="134"/>
      <c r="Y43" s="142">
        <v>0</v>
      </c>
      <c r="Z43" s="84"/>
      <c r="AA43" s="177"/>
    </row>
    <row r="44" spans="1:27" s="34" customFormat="1">
      <c r="A44" s="143"/>
      <c r="B44" s="135"/>
      <c r="C44" s="141"/>
      <c r="D44" s="141"/>
      <c r="E44" s="141"/>
      <c r="F44" s="134"/>
      <c r="G44" s="142"/>
      <c r="H44" s="134"/>
      <c r="I44" s="142"/>
      <c r="J44" s="134"/>
      <c r="K44" s="142"/>
      <c r="L44" s="141"/>
      <c r="M44" s="133"/>
      <c r="N44" s="141"/>
      <c r="O44" s="133"/>
      <c r="P44" s="141"/>
      <c r="Q44" s="134"/>
      <c r="R44" s="142"/>
      <c r="S44" s="141"/>
      <c r="T44" s="133"/>
      <c r="U44" s="141"/>
      <c r="V44" s="133"/>
      <c r="W44" s="141"/>
      <c r="X44" s="134"/>
      <c r="Y44" s="142"/>
      <c r="Z44" s="84"/>
      <c r="AA44" s="177"/>
    </row>
    <row r="45" spans="1:27" s="34" customFormat="1">
      <c r="A45" s="53" t="s">
        <v>65</v>
      </c>
      <c r="B45" s="155" t="s">
        <v>66</v>
      </c>
      <c r="C45" s="156">
        <f>C47+C108</f>
        <v>1831821024.6700001</v>
      </c>
      <c r="D45" s="157">
        <f>D47+D108</f>
        <v>0</v>
      </c>
      <c r="E45" s="157">
        <f>E47+E108</f>
        <v>1831821024.6700001</v>
      </c>
      <c r="F45" s="157">
        <f t="shared" ref="F45:U45" si="8">F47+F108</f>
        <v>1172269655.6500001</v>
      </c>
      <c r="G45" s="157">
        <f t="shared" si="8"/>
        <v>3004090680.3200002</v>
      </c>
      <c r="H45" s="157">
        <f t="shared" ref="H45:I45" si="9">H47+H108</f>
        <v>29389969.340000004</v>
      </c>
      <c r="I45" s="157">
        <f t="shared" si="9"/>
        <v>3033480649.6600003</v>
      </c>
      <c r="J45" s="157">
        <f t="shared" ref="J45:K45" si="10">J47+J108</f>
        <v>35097769.749999993</v>
      </c>
      <c r="K45" s="157">
        <f t="shared" si="10"/>
        <v>3068578419.4099998</v>
      </c>
      <c r="L45" s="157">
        <f t="shared" si="8"/>
        <v>1854863210.0799999</v>
      </c>
      <c r="M45" s="157">
        <f t="shared" si="8"/>
        <v>142963151.66999999</v>
      </c>
      <c r="N45" s="157">
        <f t="shared" si="8"/>
        <v>1997826361.75</v>
      </c>
      <c r="O45" s="157">
        <f t="shared" ref="O45:P45" si="11">O47+O108</f>
        <v>37564.14</v>
      </c>
      <c r="P45" s="157">
        <f t="shared" si="11"/>
        <v>1997863925.8899999</v>
      </c>
      <c r="Q45" s="157">
        <f t="shared" ref="Q45:R45" si="12">Q47+Q108</f>
        <v>3379093.7600000002</v>
      </c>
      <c r="R45" s="157">
        <f t="shared" si="12"/>
        <v>2001243019.6500001</v>
      </c>
      <c r="S45" s="157">
        <f t="shared" si="8"/>
        <v>1906654894.5599999</v>
      </c>
      <c r="T45" s="157">
        <f t="shared" si="8"/>
        <v>220423882.55000001</v>
      </c>
      <c r="U45" s="157">
        <f t="shared" si="8"/>
        <v>2127078777.1099999</v>
      </c>
      <c r="V45" s="157">
        <f t="shared" ref="V45:W45" si="13">V47+V108</f>
        <v>37564.14</v>
      </c>
      <c r="W45" s="157">
        <f t="shared" si="13"/>
        <v>2127116341.25</v>
      </c>
      <c r="X45" s="157">
        <f t="shared" ref="X45:Y45" si="14">X47+X108</f>
        <v>4374522.75</v>
      </c>
      <c r="Y45" s="157">
        <f t="shared" si="14"/>
        <v>2131490863.9999998</v>
      </c>
      <c r="Z45" s="84"/>
      <c r="AA45" s="177"/>
    </row>
    <row r="46" spans="1:27" s="34" customFormat="1">
      <c r="A46" s="143"/>
      <c r="B46" s="158"/>
      <c r="C46" s="159"/>
      <c r="D46" s="159"/>
      <c r="E46" s="159"/>
      <c r="F46" s="157"/>
      <c r="G46" s="160"/>
      <c r="H46" s="157"/>
      <c r="I46" s="160"/>
      <c r="J46" s="157"/>
      <c r="K46" s="160"/>
      <c r="L46" s="159"/>
      <c r="M46" s="156"/>
      <c r="N46" s="159"/>
      <c r="O46" s="156"/>
      <c r="P46" s="159"/>
      <c r="Q46" s="157"/>
      <c r="R46" s="160"/>
      <c r="S46" s="159"/>
      <c r="T46" s="156"/>
      <c r="U46" s="159"/>
      <c r="V46" s="156"/>
      <c r="W46" s="159"/>
      <c r="X46" s="157"/>
      <c r="Y46" s="160"/>
      <c r="Z46" s="84"/>
      <c r="AA46" s="177"/>
    </row>
    <row r="47" spans="1:27" s="34" customFormat="1" ht="39.6">
      <c r="A47" s="140" t="s">
        <v>67</v>
      </c>
      <c r="B47" s="161" t="s">
        <v>68</v>
      </c>
      <c r="C47" s="159">
        <f>C48+C52+C75+C92</f>
        <v>1827087045.6400001</v>
      </c>
      <c r="D47" s="159"/>
      <c r="E47" s="159">
        <f>E48+E52+E75+E92</f>
        <v>1827087045.6400001</v>
      </c>
      <c r="F47" s="160">
        <f t="shared" ref="F47:H47" si="15">F48+F52+F75+F92</f>
        <v>1034873655.6500001</v>
      </c>
      <c r="G47" s="160">
        <f>G48+G52+G75+G92</f>
        <v>2861960701.29</v>
      </c>
      <c r="H47" s="160">
        <f t="shared" si="15"/>
        <v>29389969.340000004</v>
      </c>
      <c r="I47" s="160">
        <f>I48+I52+I75+I92</f>
        <v>2891350670.6300001</v>
      </c>
      <c r="J47" s="160">
        <f t="shared" ref="J47" si="16">J48+J52+J75+J92</f>
        <v>34651241.989999995</v>
      </c>
      <c r="K47" s="160">
        <f>K48+K52+K75+K92</f>
        <v>2926001912.6199999</v>
      </c>
      <c r="L47" s="159">
        <f>L48+L52+L75+L92</f>
        <v>1854863210.0799999</v>
      </c>
      <c r="M47" s="159">
        <f t="shared" ref="M47:N47" si="17">M48+M52+M75+M92</f>
        <v>5567151.6699999999</v>
      </c>
      <c r="N47" s="159">
        <f t="shared" si="17"/>
        <v>1860430361.75</v>
      </c>
      <c r="O47" s="159">
        <f t="shared" ref="O47:P47" si="18">O48+O52+O75+O92</f>
        <v>37564.14</v>
      </c>
      <c r="P47" s="159">
        <f t="shared" si="18"/>
        <v>1860467925.8899999</v>
      </c>
      <c r="Q47" s="160">
        <f t="shared" ref="Q47:R47" si="19">Q48+Q52+Q75+Q92</f>
        <v>3379093.7600000002</v>
      </c>
      <c r="R47" s="160">
        <f t="shared" si="19"/>
        <v>1863847019.6500001</v>
      </c>
      <c r="S47" s="159">
        <f>S48+S52+S75+S92</f>
        <v>1906654894.5599999</v>
      </c>
      <c r="T47" s="159">
        <f t="shared" ref="T47:U47" si="20">T48+T52+T75+T92</f>
        <v>83027882.549999997</v>
      </c>
      <c r="U47" s="159">
        <f t="shared" si="20"/>
        <v>1989682777.1099999</v>
      </c>
      <c r="V47" s="159">
        <f t="shared" ref="V47:W47" si="21">V48+V52+V75+V92</f>
        <v>37564.14</v>
      </c>
      <c r="W47" s="159">
        <f t="shared" si="21"/>
        <v>1989720341.25</v>
      </c>
      <c r="X47" s="160">
        <f t="shared" ref="X47:Y47" si="22">X48+X52+X75+X92</f>
        <v>4374522.75</v>
      </c>
      <c r="Y47" s="160">
        <f t="shared" si="22"/>
        <v>1994094863.9999998</v>
      </c>
      <c r="Z47" s="84"/>
      <c r="AA47" s="177"/>
    </row>
    <row r="48" spans="1:27" s="89" customFormat="1" ht="26.4">
      <c r="A48" s="162" t="s">
        <v>69</v>
      </c>
      <c r="B48" s="54" t="s">
        <v>70</v>
      </c>
      <c r="C48" s="133">
        <f>SUM(C49:C50)</f>
        <v>459597927.19</v>
      </c>
      <c r="D48" s="133"/>
      <c r="E48" s="133">
        <f>SUM(E49:E50)</f>
        <v>459597927.19</v>
      </c>
      <c r="F48" s="134">
        <f t="shared" ref="F48:G48" si="23">SUM(F49:F50)</f>
        <v>0</v>
      </c>
      <c r="G48" s="134">
        <f t="shared" si="23"/>
        <v>459597927.19</v>
      </c>
      <c r="H48" s="134">
        <f t="shared" ref="H48:I48" si="24">SUM(H49:H50)</f>
        <v>0</v>
      </c>
      <c r="I48" s="134">
        <f t="shared" si="24"/>
        <v>459597927.19</v>
      </c>
      <c r="J48" s="134">
        <f t="shared" ref="J48:K48" si="25">SUM(J49:J50)</f>
        <v>0</v>
      </c>
      <c r="K48" s="134">
        <f t="shared" si="25"/>
        <v>459597927.19</v>
      </c>
      <c r="L48" s="133">
        <f>SUM(L49:L50)</f>
        <v>555534416.65999997</v>
      </c>
      <c r="M48" s="133">
        <f t="shared" ref="M48:N48" si="26">SUM(M49:M50)</f>
        <v>0</v>
      </c>
      <c r="N48" s="133">
        <f t="shared" si="26"/>
        <v>555534416.65999997</v>
      </c>
      <c r="O48" s="133">
        <f t="shared" ref="O48:P48" si="27">SUM(O49:O50)</f>
        <v>0</v>
      </c>
      <c r="P48" s="133">
        <f t="shared" si="27"/>
        <v>555534416.65999997</v>
      </c>
      <c r="Q48" s="134">
        <f t="shared" ref="Q48:R48" si="28">SUM(Q49:Q50)</f>
        <v>0</v>
      </c>
      <c r="R48" s="134">
        <f t="shared" si="28"/>
        <v>555534416.65999997</v>
      </c>
      <c r="S48" s="133">
        <f>SUM(S49:S50)</f>
        <v>584348084.79999995</v>
      </c>
      <c r="T48" s="133">
        <f t="shared" ref="T48:U48" si="29">SUM(T49:T50)</f>
        <v>0</v>
      </c>
      <c r="U48" s="133">
        <f t="shared" si="29"/>
        <v>584348084.79999995</v>
      </c>
      <c r="V48" s="133">
        <f t="shared" ref="V48:W48" si="30">SUM(V49:V50)</f>
        <v>0</v>
      </c>
      <c r="W48" s="133">
        <f t="shared" si="30"/>
        <v>584348084.79999995</v>
      </c>
      <c r="X48" s="134">
        <f t="shared" ref="X48:Y48" si="31">SUM(X49:X50)</f>
        <v>0</v>
      </c>
      <c r="Y48" s="134">
        <f t="shared" si="31"/>
        <v>584348084.79999995</v>
      </c>
      <c r="Z48" s="178"/>
      <c r="AA48" s="178"/>
    </row>
    <row r="49" spans="1:27" s="17" customFormat="1" ht="26.4">
      <c r="A49" s="163" t="s">
        <v>71</v>
      </c>
      <c r="B49" s="161" t="s">
        <v>72</v>
      </c>
      <c r="C49" s="141">
        <v>78849761.290000007</v>
      </c>
      <c r="D49" s="141"/>
      <c r="E49" s="141">
        <v>78849761.290000007</v>
      </c>
      <c r="F49" s="134"/>
      <c r="G49" s="142">
        <v>78849761.290000007</v>
      </c>
      <c r="H49" s="134"/>
      <c r="I49" s="142">
        <v>78849761.290000007</v>
      </c>
      <c r="J49" s="134"/>
      <c r="K49" s="142">
        <v>78849761.290000007</v>
      </c>
      <c r="L49" s="141">
        <v>70405204.780000001</v>
      </c>
      <c r="M49" s="133"/>
      <c r="N49" s="141">
        <v>70405204.780000001</v>
      </c>
      <c r="O49" s="133"/>
      <c r="P49" s="141">
        <v>70405204.780000001</v>
      </c>
      <c r="Q49" s="134"/>
      <c r="R49" s="142">
        <v>70405204.780000001</v>
      </c>
      <c r="S49" s="141">
        <v>82469353.299999997</v>
      </c>
      <c r="T49" s="133"/>
      <c r="U49" s="141">
        <v>82469353.299999997</v>
      </c>
      <c r="V49" s="133"/>
      <c r="W49" s="141">
        <v>82469353.299999997</v>
      </c>
      <c r="X49" s="134"/>
      <c r="Y49" s="142">
        <v>82469353.299999997</v>
      </c>
      <c r="Z49" s="84"/>
      <c r="AA49" s="84"/>
    </row>
    <row r="50" spans="1:27" s="17" customFormat="1" ht="52.8">
      <c r="A50" s="163" t="s">
        <v>73</v>
      </c>
      <c r="B50" s="161" t="s">
        <v>123</v>
      </c>
      <c r="C50" s="141">
        <v>380748165.89999998</v>
      </c>
      <c r="D50" s="141"/>
      <c r="E50" s="141">
        <v>380748165.89999998</v>
      </c>
      <c r="F50" s="134"/>
      <c r="G50" s="142">
        <v>380748165.89999998</v>
      </c>
      <c r="H50" s="134"/>
      <c r="I50" s="142">
        <v>380748165.89999998</v>
      </c>
      <c r="J50" s="134"/>
      <c r="K50" s="142">
        <v>380748165.89999998</v>
      </c>
      <c r="L50" s="141">
        <f>450502757.25+23998756+10627698.63</f>
        <v>485129211.88</v>
      </c>
      <c r="M50" s="133"/>
      <c r="N50" s="141">
        <f>450502757.25+23998756+10627698.63</f>
        <v>485129211.88</v>
      </c>
      <c r="O50" s="133"/>
      <c r="P50" s="141">
        <f>450502757.25+23998756+10627698.63</f>
        <v>485129211.88</v>
      </c>
      <c r="Q50" s="134"/>
      <c r="R50" s="142">
        <f>450502757.25+23998756+10627698.63</f>
        <v>485129211.88</v>
      </c>
      <c r="S50" s="141">
        <f>438504754.87+48713278+14660698.63</f>
        <v>501878731.5</v>
      </c>
      <c r="T50" s="133"/>
      <c r="U50" s="141">
        <f>438504754.87+48713278+14660698.63</f>
        <v>501878731.5</v>
      </c>
      <c r="V50" s="133"/>
      <c r="W50" s="141">
        <f>438504754.87+48713278+14660698.63</f>
        <v>501878731.5</v>
      </c>
      <c r="X50" s="134"/>
      <c r="Y50" s="142">
        <f>438504754.87+48713278+14660698.63</f>
        <v>501878731.5</v>
      </c>
      <c r="Z50" s="84"/>
      <c r="AA50" s="84"/>
    </row>
    <row r="51" spans="1:27" s="17" customFormat="1">
      <c r="A51" s="164"/>
      <c r="B51" s="165"/>
      <c r="C51" s="141"/>
      <c r="D51" s="141"/>
      <c r="E51" s="141"/>
      <c r="F51" s="134"/>
      <c r="G51" s="142"/>
      <c r="H51" s="134"/>
      <c r="I51" s="142"/>
      <c r="J51" s="134"/>
      <c r="K51" s="142"/>
      <c r="L51" s="141"/>
      <c r="M51" s="133"/>
      <c r="N51" s="141"/>
      <c r="O51" s="133"/>
      <c r="P51" s="141"/>
      <c r="Q51" s="134"/>
      <c r="R51" s="142"/>
      <c r="S51" s="141"/>
      <c r="T51" s="133"/>
      <c r="U51" s="141"/>
      <c r="V51" s="133"/>
      <c r="W51" s="141"/>
      <c r="X51" s="134"/>
      <c r="Y51" s="142"/>
      <c r="Z51" s="84"/>
      <c r="AA51" s="84"/>
    </row>
    <row r="52" spans="1:27" s="89" customFormat="1" ht="39.6">
      <c r="A52" s="162" t="s">
        <v>74</v>
      </c>
      <c r="B52" s="54" t="s">
        <v>75</v>
      </c>
      <c r="C52" s="133">
        <f>SUM(C55:C66)</f>
        <v>331460299.98000002</v>
      </c>
      <c r="D52" s="133"/>
      <c r="E52" s="133">
        <f>SUM(E55:E74)</f>
        <v>331460299.98000002</v>
      </c>
      <c r="F52" s="134">
        <f t="shared" ref="F52:U52" si="32">SUM(F55:F74)</f>
        <v>4471657.6500000004</v>
      </c>
      <c r="G52" s="134">
        <f>SUM(G53:G74)</f>
        <v>335931957.63</v>
      </c>
      <c r="H52" s="134">
        <f t="shared" ref="H52:I52" si="33">SUM(H53:H74)</f>
        <v>37554475.340000004</v>
      </c>
      <c r="I52" s="134">
        <f t="shared" si="33"/>
        <v>373486432.96999997</v>
      </c>
      <c r="J52" s="134">
        <f t="shared" ref="J52:K52" si="34">SUM(J53:J74)</f>
        <v>640377.4700000002</v>
      </c>
      <c r="K52" s="134">
        <f t="shared" si="34"/>
        <v>374126810.43999994</v>
      </c>
      <c r="L52" s="133">
        <f t="shared" si="32"/>
        <v>339727537.89999998</v>
      </c>
      <c r="M52" s="133">
        <f t="shared" si="32"/>
        <v>-588911.16999999993</v>
      </c>
      <c r="N52" s="133">
        <f t="shared" si="32"/>
        <v>339138626.73000002</v>
      </c>
      <c r="O52" s="133">
        <f t="shared" ref="O52:P52" si="35">SUM(O55:O74)</f>
        <v>0</v>
      </c>
      <c r="P52" s="133">
        <f t="shared" si="35"/>
        <v>339138626.73000002</v>
      </c>
      <c r="Q52" s="134">
        <f t="shared" ref="Q52:R52" si="36">SUM(Q55:Q74)</f>
        <v>2876751.58</v>
      </c>
      <c r="R52" s="134">
        <f t="shared" si="36"/>
        <v>342015378.31</v>
      </c>
      <c r="S52" s="133">
        <f t="shared" si="32"/>
        <v>355567566.81</v>
      </c>
      <c r="T52" s="133">
        <f t="shared" si="32"/>
        <v>-1070037.6300000001</v>
      </c>
      <c r="U52" s="133">
        <f t="shared" si="32"/>
        <v>354497529.18000001</v>
      </c>
      <c r="V52" s="133">
        <f t="shared" ref="V52:W52" si="37">SUM(V55:V74)</f>
        <v>0</v>
      </c>
      <c r="W52" s="133">
        <f t="shared" si="37"/>
        <v>354497529.18000001</v>
      </c>
      <c r="X52" s="134">
        <f t="shared" ref="X52:Y52" si="38">SUM(X55:X74)</f>
        <v>2876751.58</v>
      </c>
      <c r="Y52" s="134">
        <f t="shared" si="38"/>
        <v>357374280.75999999</v>
      </c>
      <c r="Z52" s="178"/>
      <c r="AA52" s="178"/>
    </row>
    <row r="53" spans="1:27" s="17" customFormat="1" ht="58.2" customHeight="1">
      <c r="A53" s="167" t="s">
        <v>154</v>
      </c>
      <c r="B53" s="161" t="s">
        <v>152</v>
      </c>
      <c r="C53" s="141"/>
      <c r="D53" s="141"/>
      <c r="E53" s="141"/>
      <c r="F53" s="142"/>
      <c r="G53" s="142"/>
      <c r="H53" s="134">
        <v>9433480</v>
      </c>
      <c r="I53" s="142">
        <f t="shared" ref="I53:I69" si="39">G53+H53</f>
        <v>9433480</v>
      </c>
      <c r="J53" s="134"/>
      <c r="K53" s="142">
        <f t="shared" ref="K53:K73" si="40">I53+J53</f>
        <v>9433480</v>
      </c>
      <c r="L53" s="141"/>
      <c r="M53" s="141"/>
      <c r="N53" s="141"/>
      <c r="O53" s="141"/>
      <c r="P53" s="141"/>
      <c r="Q53" s="142"/>
      <c r="R53" s="142"/>
      <c r="S53" s="141"/>
      <c r="T53" s="141"/>
      <c r="U53" s="141"/>
      <c r="V53" s="141"/>
      <c r="W53" s="141"/>
      <c r="X53" s="142"/>
      <c r="Y53" s="142"/>
      <c r="Z53" s="84"/>
      <c r="AA53" s="84"/>
    </row>
    <row r="54" spans="1:27" s="17" customFormat="1" ht="52.95" customHeight="1">
      <c r="A54" s="167" t="s">
        <v>155</v>
      </c>
      <c r="B54" s="161" t="s">
        <v>153</v>
      </c>
      <c r="C54" s="141"/>
      <c r="D54" s="141"/>
      <c r="E54" s="141"/>
      <c r="F54" s="142"/>
      <c r="G54" s="142"/>
      <c r="H54" s="134">
        <v>182894</v>
      </c>
      <c r="I54" s="142">
        <f t="shared" si="39"/>
        <v>182894</v>
      </c>
      <c r="J54" s="134"/>
      <c r="K54" s="142">
        <f t="shared" si="40"/>
        <v>182894</v>
      </c>
      <c r="L54" s="141"/>
      <c r="M54" s="141"/>
      <c r="N54" s="141"/>
      <c r="O54" s="141"/>
      <c r="P54" s="141"/>
      <c r="Q54" s="142"/>
      <c r="R54" s="142"/>
      <c r="S54" s="141"/>
      <c r="T54" s="141"/>
      <c r="U54" s="141"/>
      <c r="V54" s="141"/>
      <c r="W54" s="141"/>
      <c r="X54" s="142"/>
      <c r="Y54" s="142"/>
      <c r="Z54" s="84"/>
      <c r="AA54" s="84"/>
    </row>
    <row r="55" spans="1:27" s="17" customFormat="1" ht="52.8">
      <c r="A55" s="163" t="s">
        <v>77</v>
      </c>
      <c r="B55" s="161" t="s">
        <v>78</v>
      </c>
      <c r="C55" s="141">
        <v>18839206.510000002</v>
      </c>
      <c r="D55" s="141"/>
      <c r="E55" s="141">
        <v>18839206.510000002</v>
      </c>
      <c r="F55" s="134">
        <v>-521385.36</v>
      </c>
      <c r="G55" s="142">
        <f>18839206.51+F55</f>
        <v>18317821.150000002</v>
      </c>
      <c r="H55" s="134"/>
      <c r="I55" s="142">
        <f t="shared" si="39"/>
        <v>18317821.150000002</v>
      </c>
      <c r="J55" s="134"/>
      <c r="K55" s="142">
        <f t="shared" si="40"/>
        <v>18317821.150000002</v>
      </c>
      <c r="L55" s="141">
        <v>18913761.379999999</v>
      </c>
      <c r="M55" s="133">
        <v>-1308353.24</v>
      </c>
      <c r="N55" s="141">
        <f>18913761.38+M55</f>
        <v>17605408.140000001</v>
      </c>
      <c r="O55" s="133"/>
      <c r="P55" s="141">
        <f>N55+O55</f>
        <v>17605408.140000001</v>
      </c>
      <c r="Q55" s="134"/>
      <c r="R55" s="142">
        <f>P55+Q55</f>
        <v>17605408.140000001</v>
      </c>
      <c r="S55" s="141">
        <v>18709460.149999999</v>
      </c>
      <c r="T55" s="133">
        <v>-1821953.35</v>
      </c>
      <c r="U55" s="141">
        <f>18709460.15+T55</f>
        <v>16887506.799999997</v>
      </c>
      <c r="V55" s="133"/>
      <c r="W55" s="141">
        <f>U55+V55</f>
        <v>16887506.799999997</v>
      </c>
      <c r="X55" s="134"/>
      <c r="Y55" s="142">
        <f>W55+X55</f>
        <v>16887506.799999997</v>
      </c>
      <c r="Z55" s="84"/>
      <c r="AA55" s="84"/>
    </row>
    <row r="56" spans="1:27" s="17" customFormat="1" ht="54" customHeight="1">
      <c r="A56" s="163" t="s">
        <v>142</v>
      </c>
      <c r="B56" s="161" t="s">
        <v>141</v>
      </c>
      <c r="C56" s="141"/>
      <c r="D56" s="141"/>
      <c r="E56" s="141"/>
      <c r="F56" s="134">
        <v>1209409</v>
      </c>
      <c r="G56" s="142">
        <f>F56</f>
        <v>1209409</v>
      </c>
      <c r="H56" s="134"/>
      <c r="I56" s="142">
        <f t="shared" si="39"/>
        <v>1209409</v>
      </c>
      <c r="J56" s="134"/>
      <c r="K56" s="142">
        <f t="shared" si="40"/>
        <v>1209409</v>
      </c>
      <c r="L56" s="141"/>
      <c r="M56" s="133"/>
      <c r="N56" s="141"/>
      <c r="O56" s="133"/>
      <c r="P56" s="141">
        <f t="shared" ref="P56:P68" si="41">N56+O56</f>
        <v>0</v>
      </c>
      <c r="Q56" s="134"/>
      <c r="R56" s="142">
        <f t="shared" ref="R56" si="42">P56+Q56</f>
        <v>0</v>
      </c>
      <c r="S56" s="141"/>
      <c r="T56" s="133"/>
      <c r="U56" s="141"/>
      <c r="V56" s="133"/>
      <c r="W56" s="141">
        <f t="shared" ref="W56:W68" si="43">U56+V56</f>
        <v>0</v>
      </c>
      <c r="X56" s="134"/>
      <c r="Y56" s="142">
        <f t="shared" ref="Y56" si="44">W56+X56</f>
        <v>0</v>
      </c>
      <c r="Z56" s="84"/>
      <c r="AA56" s="84"/>
    </row>
    <row r="57" spans="1:27" s="17" customFormat="1" ht="44.4" customHeight="1">
      <c r="A57" s="163" t="s">
        <v>157</v>
      </c>
      <c r="B57" s="161" t="s">
        <v>156</v>
      </c>
      <c r="C57" s="141"/>
      <c r="D57" s="141"/>
      <c r="E57" s="141"/>
      <c r="F57" s="134"/>
      <c r="G57" s="142"/>
      <c r="H57" s="134">
        <v>7386116.2000000002</v>
      </c>
      <c r="I57" s="142">
        <f t="shared" si="39"/>
        <v>7386116.2000000002</v>
      </c>
      <c r="J57" s="134">
        <v>1191309.07</v>
      </c>
      <c r="K57" s="142">
        <f t="shared" si="40"/>
        <v>8577425.2699999996</v>
      </c>
      <c r="L57" s="141"/>
      <c r="M57" s="133"/>
      <c r="N57" s="141"/>
      <c r="O57" s="133"/>
      <c r="P57" s="141"/>
      <c r="Q57" s="134"/>
      <c r="R57" s="142"/>
      <c r="S57" s="141"/>
      <c r="T57" s="133"/>
      <c r="U57" s="141"/>
      <c r="V57" s="133"/>
      <c r="W57" s="141"/>
      <c r="X57" s="134"/>
      <c r="Y57" s="142"/>
      <c r="Z57" s="84"/>
      <c r="AA57" s="84"/>
    </row>
    <row r="58" spans="1:27" s="17" customFormat="1" ht="66">
      <c r="A58" s="163" t="s">
        <v>79</v>
      </c>
      <c r="B58" s="166" t="s">
        <v>124</v>
      </c>
      <c r="C58" s="141">
        <v>383180.16</v>
      </c>
      <c r="D58" s="141"/>
      <c r="E58" s="141">
        <v>383180.16</v>
      </c>
      <c r="F58" s="134">
        <v>-58481.75</v>
      </c>
      <c r="G58" s="142">
        <f>383180.16+F58</f>
        <v>324698.40999999997</v>
      </c>
      <c r="H58" s="134"/>
      <c r="I58" s="142">
        <f t="shared" si="39"/>
        <v>324698.40999999997</v>
      </c>
      <c r="J58" s="134"/>
      <c r="K58" s="142">
        <f t="shared" si="40"/>
        <v>324698.40999999997</v>
      </c>
      <c r="L58" s="141">
        <v>383627.2</v>
      </c>
      <c r="M58" s="133">
        <v>-58516.45</v>
      </c>
      <c r="N58" s="141">
        <f>383627.2+M58</f>
        <v>325110.75</v>
      </c>
      <c r="O58" s="133"/>
      <c r="P58" s="141">
        <f t="shared" si="41"/>
        <v>325110.75</v>
      </c>
      <c r="Q58" s="134"/>
      <c r="R58" s="142">
        <f t="shared" ref="R58" si="45">P58+Q58</f>
        <v>325110.75</v>
      </c>
      <c r="S58" s="141">
        <v>359641.91</v>
      </c>
      <c r="T58" s="133">
        <v>-26042.799999999999</v>
      </c>
      <c r="U58" s="141">
        <f>359641.91+T58</f>
        <v>333599.11</v>
      </c>
      <c r="V58" s="133"/>
      <c r="W58" s="141">
        <f t="shared" si="43"/>
        <v>333599.11</v>
      </c>
      <c r="X58" s="134"/>
      <c r="Y58" s="142">
        <f t="shared" ref="Y58" si="46">W58+X58</f>
        <v>333599.11</v>
      </c>
      <c r="Z58" s="84"/>
      <c r="AA58" s="84"/>
    </row>
    <row r="59" spans="1:27" s="17" customFormat="1" ht="52.2" customHeight="1">
      <c r="A59" s="163" t="s">
        <v>158</v>
      </c>
      <c r="B59" s="185" t="s">
        <v>159</v>
      </c>
      <c r="C59" s="141"/>
      <c r="D59" s="141"/>
      <c r="E59" s="141"/>
      <c r="F59" s="134"/>
      <c r="G59" s="142"/>
      <c r="H59" s="134">
        <v>13988094.119999999</v>
      </c>
      <c r="I59" s="142">
        <f t="shared" si="39"/>
        <v>13988094.119999999</v>
      </c>
      <c r="J59" s="134"/>
      <c r="K59" s="142">
        <f t="shared" si="40"/>
        <v>13988094.119999999</v>
      </c>
      <c r="L59" s="141"/>
      <c r="M59" s="133"/>
      <c r="N59" s="141"/>
      <c r="O59" s="133"/>
      <c r="P59" s="141"/>
      <c r="Q59" s="134"/>
      <c r="R59" s="142"/>
      <c r="S59" s="141"/>
      <c r="T59" s="133"/>
      <c r="U59" s="141"/>
      <c r="V59" s="133"/>
      <c r="W59" s="141"/>
      <c r="X59" s="134"/>
      <c r="Y59" s="142"/>
      <c r="Z59" s="84"/>
      <c r="AA59" s="84"/>
    </row>
    <row r="60" spans="1:27" s="17" customFormat="1" ht="52.8">
      <c r="A60" s="163" t="s">
        <v>80</v>
      </c>
      <c r="B60" s="161" t="s">
        <v>147</v>
      </c>
      <c r="C60" s="141">
        <v>307166640</v>
      </c>
      <c r="D60" s="141"/>
      <c r="E60" s="141">
        <v>307166640</v>
      </c>
      <c r="F60" s="134"/>
      <c r="G60" s="142">
        <f>307166640</f>
        <v>307166640</v>
      </c>
      <c r="H60" s="134"/>
      <c r="I60" s="142">
        <f t="shared" si="39"/>
        <v>307166640</v>
      </c>
      <c r="J60" s="134"/>
      <c r="K60" s="142">
        <f t="shared" si="40"/>
        <v>307166640</v>
      </c>
      <c r="L60" s="141">
        <v>318999400</v>
      </c>
      <c r="M60" s="133"/>
      <c r="N60" s="141">
        <v>318999400</v>
      </c>
      <c r="O60" s="133"/>
      <c r="P60" s="141">
        <f t="shared" si="41"/>
        <v>318999400</v>
      </c>
      <c r="Q60" s="134"/>
      <c r="R60" s="142">
        <f t="shared" ref="R60:R61" si="47">P60+Q60</f>
        <v>318999400</v>
      </c>
      <c r="S60" s="141">
        <v>335057530</v>
      </c>
      <c r="T60" s="133"/>
      <c r="U60" s="141">
        <v>335057530</v>
      </c>
      <c r="V60" s="133"/>
      <c r="W60" s="141">
        <f t="shared" si="43"/>
        <v>335057530</v>
      </c>
      <c r="X60" s="134"/>
      <c r="Y60" s="142">
        <f t="shared" ref="Y60:Y61" si="48">W60+X60</f>
        <v>335057530</v>
      </c>
      <c r="Z60" s="84"/>
      <c r="AA60" s="84"/>
    </row>
    <row r="61" spans="1:27" s="17" customFormat="1" ht="56.4" customHeight="1">
      <c r="A61" s="163" t="s">
        <v>138</v>
      </c>
      <c r="B61" s="161" t="s">
        <v>81</v>
      </c>
      <c r="C61" s="141"/>
      <c r="D61" s="141"/>
      <c r="E61" s="141">
        <v>0</v>
      </c>
      <c r="F61" s="134">
        <v>2722317.84</v>
      </c>
      <c r="G61" s="142">
        <f>E61+F61</f>
        <v>2722317.84</v>
      </c>
      <c r="H61" s="134"/>
      <c r="I61" s="142">
        <f t="shared" si="39"/>
        <v>2722317.84</v>
      </c>
      <c r="J61" s="134"/>
      <c r="K61" s="142">
        <f t="shared" si="40"/>
        <v>2722317.84</v>
      </c>
      <c r="L61" s="141"/>
      <c r="M61" s="133"/>
      <c r="N61" s="141"/>
      <c r="O61" s="133"/>
      <c r="P61" s="141">
        <f t="shared" si="41"/>
        <v>0</v>
      </c>
      <c r="Q61" s="134"/>
      <c r="R61" s="142">
        <f t="shared" si="47"/>
        <v>0</v>
      </c>
      <c r="S61" s="141"/>
      <c r="T61" s="133"/>
      <c r="U61" s="141"/>
      <c r="V61" s="133"/>
      <c r="W61" s="141">
        <f t="shared" si="43"/>
        <v>0</v>
      </c>
      <c r="X61" s="134"/>
      <c r="Y61" s="142">
        <f t="shared" si="48"/>
        <v>0</v>
      </c>
      <c r="Z61" s="84"/>
      <c r="AA61" s="84"/>
    </row>
    <row r="62" spans="1:27" s="17" customFormat="1" ht="46.95" customHeight="1">
      <c r="A62" s="163" t="s">
        <v>160</v>
      </c>
      <c r="B62" s="161" t="s">
        <v>81</v>
      </c>
      <c r="C62" s="141"/>
      <c r="D62" s="141"/>
      <c r="E62" s="141"/>
      <c r="F62" s="134"/>
      <c r="G62" s="142"/>
      <c r="H62" s="134">
        <v>2951891.02</v>
      </c>
      <c r="I62" s="142">
        <f t="shared" si="39"/>
        <v>2951891.02</v>
      </c>
      <c r="J62" s="134"/>
      <c r="K62" s="142">
        <f t="shared" si="40"/>
        <v>2951891.02</v>
      </c>
      <c r="L62" s="141"/>
      <c r="M62" s="133"/>
      <c r="N62" s="141"/>
      <c r="O62" s="133"/>
      <c r="P62" s="141"/>
      <c r="Q62" s="134"/>
      <c r="R62" s="142"/>
      <c r="S62" s="141"/>
      <c r="T62" s="133"/>
      <c r="U62" s="141"/>
      <c r="V62" s="133"/>
      <c r="W62" s="141"/>
      <c r="X62" s="134"/>
      <c r="Y62" s="142"/>
      <c r="Z62" s="84"/>
      <c r="AA62" s="84"/>
    </row>
    <row r="63" spans="1:27" s="17" customFormat="1" ht="52.8">
      <c r="A63" s="163" t="s">
        <v>82</v>
      </c>
      <c r="B63" s="166" t="s">
        <v>83</v>
      </c>
      <c r="C63" s="141">
        <v>230136.95999999999</v>
      </c>
      <c r="D63" s="141"/>
      <c r="E63" s="141">
        <v>230136.95999999999</v>
      </c>
      <c r="F63" s="134">
        <v>-2597.48</v>
      </c>
      <c r="G63" s="142">
        <f>230136.96+F63</f>
        <v>227539.47999999998</v>
      </c>
      <c r="H63" s="134"/>
      <c r="I63" s="142">
        <f t="shared" si="39"/>
        <v>227539.47999999998</v>
      </c>
      <c r="J63" s="134"/>
      <c r="K63" s="142">
        <f t="shared" si="40"/>
        <v>227539.47999999998</v>
      </c>
      <c r="L63" s="141">
        <v>230136.95999999999</v>
      </c>
      <c r="M63" s="133">
        <v>-2597.48</v>
      </c>
      <c r="N63" s="141">
        <f>230136.96+M63</f>
        <v>227539.47999999998</v>
      </c>
      <c r="O63" s="133"/>
      <c r="P63" s="141">
        <f t="shared" si="41"/>
        <v>227539.47999999998</v>
      </c>
      <c r="Q63" s="134"/>
      <c r="R63" s="142">
        <f t="shared" ref="R63:R72" si="49">P63+Q63</f>
        <v>227539.47999999998</v>
      </c>
      <c r="S63" s="141">
        <v>230136.95999999999</v>
      </c>
      <c r="T63" s="133">
        <v>-2597.48</v>
      </c>
      <c r="U63" s="141">
        <f>230136.96+T63</f>
        <v>227539.47999999998</v>
      </c>
      <c r="V63" s="133"/>
      <c r="W63" s="141">
        <f t="shared" si="43"/>
        <v>227539.47999999998</v>
      </c>
      <c r="X63" s="134"/>
      <c r="Y63" s="142">
        <f t="shared" ref="Y63:Y72" si="50">W63+X63</f>
        <v>227539.47999999998</v>
      </c>
      <c r="Z63" s="84"/>
      <c r="AA63" s="84"/>
    </row>
    <row r="64" spans="1:27" s="17" customFormat="1" ht="39.6">
      <c r="A64" s="163" t="s">
        <v>136</v>
      </c>
      <c r="B64" s="166" t="s">
        <v>83</v>
      </c>
      <c r="C64" s="141">
        <v>1050000</v>
      </c>
      <c r="D64" s="141"/>
      <c r="E64" s="141">
        <v>1050000</v>
      </c>
      <c r="F64" s="134"/>
      <c r="G64" s="142">
        <v>1050000</v>
      </c>
      <c r="H64" s="134"/>
      <c r="I64" s="142">
        <f t="shared" si="39"/>
        <v>1050000</v>
      </c>
      <c r="J64" s="134"/>
      <c r="K64" s="142">
        <f t="shared" si="40"/>
        <v>1050000</v>
      </c>
      <c r="L64" s="141">
        <v>945000</v>
      </c>
      <c r="M64" s="133"/>
      <c r="N64" s="141">
        <v>945000</v>
      </c>
      <c r="O64" s="133"/>
      <c r="P64" s="141">
        <f t="shared" si="41"/>
        <v>945000</v>
      </c>
      <c r="Q64" s="134"/>
      <c r="R64" s="142">
        <f t="shared" si="49"/>
        <v>945000</v>
      </c>
      <c r="S64" s="141">
        <v>945000</v>
      </c>
      <c r="T64" s="133"/>
      <c r="U64" s="141">
        <v>945000</v>
      </c>
      <c r="V64" s="133"/>
      <c r="W64" s="141">
        <f t="shared" si="43"/>
        <v>945000</v>
      </c>
      <c r="X64" s="134"/>
      <c r="Y64" s="142">
        <f t="shared" si="50"/>
        <v>945000</v>
      </c>
      <c r="Z64" s="84"/>
      <c r="AA64" s="84"/>
    </row>
    <row r="65" spans="1:27" s="17" customFormat="1" ht="66">
      <c r="A65" s="163" t="s">
        <v>85</v>
      </c>
      <c r="B65" s="161" t="s">
        <v>83</v>
      </c>
      <c r="C65" s="141">
        <v>245775.75</v>
      </c>
      <c r="D65" s="141"/>
      <c r="E65" s="141">
        <v>245775.75</v>
      </c>
      <c r="F65" s="134"/>
      <c r="G65" s="142">
        <v>245775.75</v>
      </c>
      <c r="H65" s="134"/>
      <c r="I65" s="142">
        <f t="shared" si="39"/>
        <v>245775.75</v>
      </c>
      <c r="J65" s="134"/>
      <c r="K65" s="142">
        <f t="shared" si="40"/>
        <v>245775.75</v>
      </c>
      <c r="L65" s="141">
        <v>255612.36</v>
      </c>
      <c r="M65" s="133"/>
      <c r="N65" s="141">
        <v>255612.36</v>
      </c>
      <c r="O65" s="133"/>
      <c r="P65" s="141">
        <f t="shared" si="41"/>
        <v>255612.36</v>
      </c>
      <c r="Q65" s="134"/>
      <c r="R65" s="142">
        <f t="shared" si="49"/>
        <v>255612.36</v>
      </c>
      <c r="S65" s="141">
        <v>265797.78999999998</v>
      </c>
      <c r="T65" s="133"/>
      <c r="U65" s="141">
        <v>265797.78999999998</v>
      </c>
      <c r="V65" s="133"/>
      <c r="W65" s="141">
        <f t="shared" si="43"/>
        <v>265797.78999999998</v>
      </c>
      <c r="X65" s="134"/>
      <c r="Y65" s="142">
        <f t="shared" si="50"/>
        <v>265797.78999999998</v>
      </c>
      <c r="Z65" s="84"/>
      <c r="AA65" s="84"/>
    </row>
    <row r="66" spans="1:27" s="17" customFormat="1" ht="94.5" customHeight="1">
      <c r="A66" s="163" t="s">
        <v>122</v>
      </c>
      <c r="B66" s="161" t="s">
        <v>83</v>
      </c>
      <c r="C66" s="141">
        <v>3545360.6</v>
      </c>
      <c r="D66" s="141"/>
      <c r="E66" s="141">
        <v>3545360.6</v>
      </c>
      <c r="F66" s="134">
        <v>-173300.6</v>
      </c>
      <c r="G66" s="142">
        <f>3545360.6+F66</f>
        <v>3372060</v>
      </c>
      <c r="H66" s="134"/>
      <c r="I66" s="142">
        <f t="shared" si="39"/>
        <v>3372060</v>
      </c>
      <c r="J66" s="134">
        <v>-3372060</v>
      </c>
      <c r="K66" s="142">
        <f t="shared" si="40"/>
        <v>0</v>
      </c>
      <c r="L66" s="141">
        <v>0</v>
      </c>
      <c r="M66" s="133"/>
      <c r="N66" s="141">
        <v>0</v>
      </c>
      <c r="O66" s="133"/>
      <c r="P66" s="141">
        <f t="shared" si="41"/>
        <v>0</v>
      </c>
      <c r="Q66" s="134"/>
      <c r="R66" s="142">
        <f t="shared" si="49"/>
        <v>0</v>
      </c>
      <c r="S66" s="141">
        <v>0</v>
      </c>
      <c r="T66" s="133"/>
      <c r="U66" s="141">
        <v>0</v>
      </c>
      <c r="V66" s="133"/>
      <c r="W66" s="141">
        <f t="shared" si="43"/>
        <v>0</v>
      </c>
      <c r="X66" s="134"/>
      <c r="Y66" s="142">
        <f t="shared" si="50"/>
        <v>0</v>
      </c>
      <c r="Z66" s="84"/>
      <c r="AA66" s="84"/>
    </row>
    <row r="67" spans="1:27" s="17" customFormat="1" ht="44.4" customHeight="1">
      <c r="A67" s="163" t="s">
        <v>144</v>
      </c>
      <c r="B67" s="161" t="s">
        <v>83</v>
      </c>
      <c r="C67" s="141"/>
      <c r="D67" s="141"/>
      <c r="E67" s="141"/>
      <c r="F67" s="134">
        <v>515140</v>
      </c>
      <c r="G67" s="142">
        <f>F67</f>
        <v>515140</v>
      </c>
      <c r="H67" s="134"/>
      <c r="I67" s="142">
        <f t="shared" si="39"/>
        <v>515140</v>
      </c>
      <c r="J67" s="134"/>
      <c r="K67" s="142">
        <f t="shared" si="40"/>
        <v>515140</v>
      </c>
      <c r="L67" s="141"/>
      <c r="M67" s="133"/>
      <c r="N67" s="141">
        <v>0</v>
      </c>
      <c r="O67" s="133"/>
      <c r="P67" s="141">
        <f t="shared" si="41"/>
        <v>0</v>
      </c>
      <c r="Q67" s="134"/>
      <c r="R67" s="142">
        <f t="shared" si="49"/>
        <v>0</v>
      </c>
      <c r="S67" s="141"/>
      <c r="T67" s="133"/>
      <c r="U67" s="141"/>
      <c r="V67" s="133"/>
      <c r="W67" s="141">
        <f t="shared" si="43"/>
        <v>0</v>
      </c>
      <c r="X67" s="134"/>
      <c r="Y67" s="142">
        <f t="shared" si="50"/>
        <v>0</v>
      </c>
      <c r="Z67" s="84"/>
      <c r="AA67" s="84"/>
    </row>
    <row r="68" spans="1:27" s="17" customFormat="1" ht="44.4" customHeight="1">
      <c r="A68" s="163" t="s">
        <v>143</v>
      </c>
      <c r="B68" s="161" t="s">
        <v>83</v>
      </c>
      <c r="C68" s="141"/>
      <c r="D68" s="141"/>
      <c r="E68" s="141"/>
      <c r="F68" s="134">
        <v>780556</v>
      </c>
      <c r="G68" s="142">
        <f>F68</f>
        <v>780556</v>
      </c>
      <c r="H68" s="134"/>
      <c r="I68" s="142">
        <f t="shared" si="39"/>
        <v>780556</v>
      </c>
      <c r="J68" s="134">
        <v>-780556</v>
      </c>
      <c r="K68" s="142">
        <f t="shared" si="40"/>
        <v>0</v>
      </c>
      <c r="L68" s="141"/>
      <c r="M68" s="133">
        <v>780556</v>
      </c>
      <c r="N68" s="141">
        <f>M68</f>
        <v>780556</v>
      </c>
      <c r="O68" s="133"/>
      <c r="P68" s="141">
        <f t="shared" si="41"/>
        <v>780556</v>
      </c>
      <c r="Q68" s="134"/>
      <c r="R68" s="142">
        <f t="shared" si="49"/>
        <v>780556</v>
      </c>
      <c r="S68" s="141"/>
      <c r="T68" s="133">
        <v>780556</v>
      </c>
      <c r="U68" s="141">
        <f>T68</f>
        <v>780556</v>
      </c>
      <c r="V68" s="133"/>
      <c r="W68" s="141">
        <f t="shared" si="43"/>
        <v>780556</v>
      </c>
      <c r="X68" s="134"/>
      <c r="Y68" s="142">
        <f t="shared" si="50"/>
        <v>780556</v>
      </c>
      <c r="Z68" s="84"/>
      <c r="AA68" s="84"/>
    </row>
    <row r="69" spans="1:27" s="17" customFormat="1" ht="44.4" customHeight="1">
      <c r="A69" s="163" t="s">
        <v>163</v>
      </c>
      <c r="B69" s="161" t="s">
        <v>83</v>
      </c>
      <c r="C69" s="141"/>
      <c r="D69" s="141"/>
      <c r="E69" s="141"/>
      <c r="F69" s="134"/>
      <c r="G69" s="142"/>
      <c r="H69" s="134">
        <v>3612000</v>
      </c>
      <c r="I69" s="142">
        <f t="shared" si="39"/>
        <v>3612000</v>
      </c>
      <c r="J69" s="134"/>
      <c r="K69" s="142">
        <f t="shared" si="40"/>
        <v>3612000</v>
      </c>
      <c r="L69" s="141"/>
      <c r="M69" s="133"/>
      <c r="N69" s="141"/>
      <c r="O69" s="133"/>
      <c r="P69" s="141"/>
      <c r="Q69" s="134"/>
      <c r="R69" s="142">
        <f t="shared" si="49"/>
        <v>0</v>
      </c>
      <c r="S69" s="141"/>
      <c r="T69" s="133"/>
      <c r="U69" s="141"/>
      <c r="V69" s="133"/>
      <c r="W69" s="141"/>
      <c r="X69" s="134"/>
      <c r="Y69" s="142">
        <f t="shared" si="50"/>
        <v>0</v>
      </c>
      <c r="Z69" s="84"/>
      <c r="AA69" s="84"/>
    </row>
    <row r="70" spans="1:27" s="17" customFormat="1" ht="44.4" customHeight="1">
      <c r="A70" s="163" t="s">
        <v>166</v>
      </c>
      <c r="B70" s="161" t="s">
        <v>83</v>
      </c>
      <c r="C70" s="141"/>
      <c r="D70" s="141"/>
      <c r="E70" s="141"/>
      <c r="F70" s="134"/>
      <c r="G70" s="142"/>
      <c r="H70" s="134"/>
      <c r="I70" s="142"/>
      <c r="J70" s="134">
        <v>64366.400000000001</v>
      </c>
      <c r="K70" s="142">
        <f t="shared" si="40"/>
        <v>64366.400000000001</v>
      </c>
      <c r="L70" s="141"/>
      <c r="M70" s="133"/>
      <c r="N70" s="141"/>
      <c r="O70" s="133"/>
      <c r="P70" s="141"/>
      <c r="Q70" s="134">
        <v>49523.58</v>
      </c>
      <c r="R70" s="142">
        <f t="shared" si="49"/>
        <v>49523.58</v>
      </c>
      <c r="S70" s="141"/>
      <c r="T70" s="133"/>
      <c r="U70" s="141"/>
      <c r="V70" s="133"/>
      <c r="W70" s="141"/>
      <c r="X70" s="134">
        <v>49523.58</v>
      </c>
      <c r="Y70" s="142">
        <f t="shared" si="50"/>
        <v>49523.58</v>
      </c>
      <c r="Z70" s="84"/>
      <c r="AA70" s="84"/>
    </row>
    <row r="71" spans="1:27" s="17" customFormat="1" ht="44.4" customHeight="1">
      <c r="A71" s="163" t="s">
        <v>167</v>
      </c>
      <c r="B71" s="161" t="s">
        <v>83</v>
      </c>
      <c r="C71" s="141"/>
      <c r="D71" s="141"/>
      <c r="E71" s="141"/>
      <c r="F71" s="134"/>
      <c r="G71" s="142"/>
      <c r="H71" s="134"/>
      <c r="I71" s="142"/>
      <c r="J71" s="134">
        <v>516090</v>
      </c>
      <c r="K71" s="142">
        <f t="shared" si="40"/>
        <v>516090</v>
      </c>
      <c r="L71" s="141"/>
      <c r="M71" s="133"/>
      <c r="N71" s="141"/>
      <c r="O71" s="133"/>
      <c r="P71" s="141"/>
      <c r="Q71" s="134"/>
      <c r="R71" s="142">
        <f t="shared" si="49"/>
        <v>0</v>
      </c>
      <c r="S71" s="141"/>
      <c r="T71" s="133"/>
      <c r="U71" s="141"/>
      <c r="V71" s="133"/>
      <c r="W71" s="141"/>
      <c r="X71" s="134"/>
      <c r="Y71" s="142">
        <f t="shared" si="50"/>
        <v>0</v>
      </c>
      <c r="Z71" s="84"/>
      <c r="AA71" s="84"/>
    </row>
    <row r="72" spans="1:27" s="17" customFormat="1" ht="57.6" customHeight="1">
      <c r="A72" s="163" t="s">
        <v>170</v>
      </c>
      <c r="B72" s="161" t="s">
        <v>83</v>
      </c>
      <c r="C72" s="141"/>
      <c r="D72" s="141"/>
      <c r="E72" s="141"/>
      <c r="F72" s="134"/>
      <c r="G72" s="142"/>
      <c r="H72" s="134"/>
      <c r="I72" s="142"/>
      <c r="J72" s="134">
        <v>2827228</v>
      </c>
      <c r="K72" s="142">
        <f t="shared" si="40"/>
        <v>2827228</v>
      </c>
      <c r="L72" s="141"/>
      <c r="M72" s="133"/>
      <c r="N72" s="141"/>
      <c r="O72" s="133"/>
      <c r="P72" s="141"/>
      <c r="Q72" s="134">
        <v>2827228</v>
      </c>
      <c r="R72" s="142">
        <f t="shared" si="49"/>
        <v>2827228</v>
      </c>
      <c r="S72" s="141"/>
      <c r="T72" s="133"/>
      <c r="U72" s="141"/>
      <c r="V72" s="133"/>
      <c r="W72" s="141"/>
      <c r="X72" s="134">
        <v>2827228</v>
      </c>
      <c r="Y72" s="142">
        <f t="shared" si="50"/>
        <v>2827228</v>
      </c>
      <c r="Z72" s="84"/>
      <c r="AA72" s="84"/>
    </row>
    <row r="73" spans="1:27" s="17" customFormat="1" ht="46.8" customHeight="1">
      <c r="A73" s="163" t="s">
        <v>174</v>
      </c>
      <c r="B73" s="161" t="s">
        <v>83</v>
      </c>
      <c r="C73" s="141"/>
      <c r="D73" s="141"/>
      <c r="E73" s="141"/>
      <c r="F73" s="134"/>
      <c r="G73" s="142"/>
      <c r="H73" s="134"/>
      <c r="I73" s="142"/>
      <c r="J73" s="134">
        <v>194000</v>
      </c>
      <c r="K73" s="142">
        <f t="shared" si="40"/>
        <v>194000</v>
      </c>
      <c r="L73" s="141"/>
      <c r="M73" s="133"/>
      <c r="N73" s="141"/>
      <c r="O73" s="133"/>
      <c r="P73" s="141"/>
      <c r="Q73" s="134"/>
      <c r="R73" s="142"/>
      <c r="S73" s="141"/>
      <c r="T73" s="133"/>
      <c r="U73" s="141"/>
      <c r="V73" s="133"/>
      <c r="W73" s="141"/>
      <c r="X73" s="134"/>
      <c r="Y73" s="142"/>
      <c r="Z73" s="84"/>
      <c r="AA73" s="84"/>
    </row>
    <row r="74" spans="1:27">
      <c r="A74" s="164"/>
      <c r="B74" s="165"/>
      <c r="C74" s="141"/>
      <c r="D74" s="141"/>
      <c r="E74" s="141"/>
      <c r="F74" s="134"/>
      <c r="G74" s="142"/>
      <c r="H74" s="134"/>
      <c r="I74" s="142"/>
      <c r="J74" s="134"/>
      <c r="K74" s="142"/>
      <c r="L74" s="141"/>
      <c r="M74" s="133"/>
      <c r="N74" s="141"/>
      <c r="O74" s="133"/>
      <c r="P74" s="141"/>
      <c r="Q74" s="134"/>
      <c r="R74" s="142"/>
      <c r="S74" s="141"/>
      <c r="T74" s="133"/>
      <c r="U74" s="141"/>
      <c r="V74" s="133"/>
      <c r="W74" s="141"/>
      <c r="X74" s="134"/>
      <c r="Y74" s="142"/>
    </row>
    <row r="75" spans="1:27" s="88" customFormat="1" ht="26.4">
      <c r="A75" s="162" t="s">
        <v>86</v>
      </c>
      <c r="B75" s="54" t="s">
        <v>87</v>
      </c>
      <c r="C75" s="133">
        <f>SUM(C76:C91)</f>
        <v>961293367.06000006</v>
      </c>
      <c r="D75" s="133"/>
      <c r="E75" s="133">
        <f>SUM(E76:E91)</f>
        <v>961293367.06000006</v>
      </c>
      <c r="F75" s="134">
        <f t="shared" ref="F75:G75" si="51">SUM(F76:F91)</f>
        <v>342050.42</v>
      </c>
      <c r="G75" s="134">
        <f t="shared" si="51"/>
        <v>961635417.48000002</v>
      </c>
      <c r="H75" s="134">
        <f t="shared" ref="H75:I75" si="52">SUM(H76:H91)</f>
        <v>-8216506</v>
      </c>
      <c r="I75" s="134">
        <f t="shared" si="52"/>
        <v>953418911.48000002</v>
      </c>
      <c r="J75" s="134">
        <f t="shared" ref="J75:K75" si="53">SUM(J76:J91)</f>
        <v>32156616.449999999</v>
      </c>
      <c r="K75" s="134">
        <f t="shared" si="53"/>
        <v>985575527.93000007</v>
      </c>
      <c r="L75" s="133">
        <f t="shared" ref="L75" si="54">SUM(L76:L91)</f>
        <v>958033211.4000001</v>
      </c>
      <c r="M75" s="133">
        <f t="shared" ref="M75:O75" si="55">SUM(M76:M91)</f>
        <v>1759094.26</v>
      </c>
      <c r="N75" s="133">
        <f t="shared" ref="N75:Q75" si="56">SUM(N76:N91)</f>
        <v>959792305.65999997</v>
      </c>
      <c r="O75" s="133">
        <f t="shared" si="55"/>
        <v>0</v>
      </c>
      <c r="P75" s="133">
        <f t="shared" si="56"/>
        <v>959792305.65999997</v>
      </c>
      <c r="Q75" s="134">
        <f t="shared" si="56"/>
        <v>0</v>
      </c>
      <c r="R75" s="134">
        <f t="shared" ref="R75" si="57">SUM(R76:R91)</f>
        <v>959792305.65999997</v>
      </c>
      <c r="S75" s="133">
        <f t="shared" ref="S75" si="58">SUM(S76:S91)</f>
        <v>965171198.83000004</v>
      </c>
      <c r="T75" s="133">
        <f t="shared" ref="T75:V75" si="59">SUM(T76:T91)</f>
        <v>-775249.9600000002</v>
      </c>
      <c r="U75" s="133">
        <f t="shared" ref="U75:X75" si="60">SUM(U76:U91)</f>
        <v>964395948.87</v>
      </c>
      <c r="V75" s="133">
        <f t="shared" si="59"/>
        <v>0</v>
      </c>
      <c r="W75" s="133">
        <f t="shared" si="60"/>
        <v>964395948.87</v>
      </c>
      <c r="X75" s="134">
        <f t="shared" si="60"/>
        <v>0</v>
      </c>
      <c r="Y75" s="134">
        <f t="shared" ref="Y75" si="61">SUM(Y76:Y91)</f>
        <v>964395948.87</v>
      </c>
      <c r="Z75" s="178"/>
      <c r="AA75" s="178"/>
    </row>
    <row r="76" spans="1:27" s="3" customFormat="1" ht="26.4">
      <c r="A76" s="163" t="s">
        <v>88</v>
      </c>
      <c r="B76" s="166" t="s">
        <v>89</v>
      </c>
      <c r="C76" s="141">
        <v>451206.49</v>
      </c>
      <c r="D76" s="141"/>
      <c r="E76" s="141">
        <v>451206.49</v>
      </c>
      <c r="F76" s="134"/>
      <c r="G76" s="142">
        <v>451206.49</v>
      </c>
      <c r="H76" s="134"/>
      <c r="I76" s="142">
        <f t="shared" ref="I76:I83" si="62">G76+H76</f>
        <v>451206.49</v>
      </c>
      <c r="J76" s="134"/>
      <c r="K76" s="142">
        <f t="shared" ref="K76:K90" si="63">I76+J76</f>
        <v>451206.49</v>
      </c>
      <c r="L76" s="141">
        <v>455268.55</v>
      </c>
      <c r="M76" s="133"/>
      <c r="N76" s="141">
        <v>455268.55</v>
      </c>
      <c r="O76" s="133"/>
      <c r="P76" s="141">
        <f>N76+O76</f>
        <v>455268.55</v>
      </c>
      <c r="Q76" s="134"/>
      <c r="R76" s="142">
        <f>P76+Q76</f>
        <v>455268.55</v>
      </c>
      <c r="S76" s="141">
        <v>471679.29</v>
      </c>
      <c r="T76" s="133"/>
      <c r="U76" s="141">
        <v>471679.29</v>
      </c>
      <c r="V76" s="133"/>
      <c r="W76" s="141">
        <f>U76+V76</f>
        <v>471679.29</v>
      </c>
      <c r="X76" s="134"/>
      <c r="Y76" s="142">
        <f>W76+X76</f>
        <v>471679.29</v>
      </c>
      <c r="Z76" s="84"/>
      <c r="AA76" s="84"/>
    </row>
    <row r="77" spans="1:27" s="3" customFormat="1" ht="66">
      <c r="A77" s="163" t="s">
        <v>90</v>
      </c>
      <c r="B77" s="161" t="s">
        <v>89</v>
      </c>
      <c r="C77" s="141">
        <v>14000</v>
      </c>
      <c r="D77" s="141"/>
      <c r="E77" s="141">
        <v>14000</v>
      </c>
      <c r="F77" s="134"/>
      <c r="G77" s="142">
        <v>14000</v>
      </c>
      <c r="H77" s="134"/>
      <c r="I77" s="142">
        <f t="shared" si="62"/>
        <v>14000</v>
      </c>
      <c r="J77" s="134"/>
      <c r="K77" s="142">
        <f t="shared" si="63"/>
        <v>14000</v>
      </c>
      <c r="L77" s="141">
        <v>14000</v>
      </c>
      <c r="M77" s="133"/>
      <c r="N77" s="141">
        <v>14000</v>
      </c>
      <c r="O77" s="133"/>
      <c r="P77" s="141">
        <f t="shared" ref="P77:P90" si="64">N77+O77</f>
        <v>14000</v>
      </c>
      <c r="Q77" s="134"/>
      <c r="R77" s="142">
        <f t="shared" ref="R77:R90" si="65">P77+Q77</f>
        <v>14000</v>
      </c>
      <c r="S77" s="141">
        <v>14000</v>
      </c>
      <c r="T77" s="133"/>
      <c r="U77" s="141">
        <v>14000</v>
      </c>
      <c r="V77" s="133"/>
      <c r="W77" s="141">
        <f t="shared" ref="W77:W90" si="66">U77+V77</f>
        <v>14000</v>
      </c>
      <c r="X77" s="134"/>
      <c r="Y77" s="142">
        <f t="shared" ref="Y77:Y90" si="67">W77+X77</f>
        <v>14000</v>
      </c>
      <c r="Z77" s="84"/>
      <c r="AA77" s="84"/>
    </row>
    <row r="78" spans="1:27" s="3" customFormat="1" ht="26.4">
      <c r="A78" s="163" t="s">
        <v>91</v>
      </c>
      <c r="B78" s="161" t="s">
        <v>89</v>
      </c>
      <c r="C78" s="141">
        <v>35000</v>
      </c>
      <c r="D78" s="141"/>
      <c r="E78" s="141">
        <v>35000</v>
      </c>
      <c r="F78" s="134"/>
      <c r="G78" s="142">
        <v>35000</v>
      </c>
      <c r="H78" s="134"/>
      <c r="I78" s="142">
        <f t="shared" si="62"/>
        <v>35000</v>
      </c>
      <c r="J78" s="134"/>
      <c r="K78" s="142">
        <f t="shared" si="63"/>
        <v>35000</v>
      </c>
      <c r="L78" s="141">
        <v>35000</v>
      </c>
      <c r="M78" s="133"/>
      <c r="N78" s="141">
        <v>35000</v>
      </c>
      <c r="O78" s="133"/>
      <c r="P78" s="141">
        <f t="shared" si="64"/>
        <v>35000</v>
      </c>
      <c r="Q78" s="134"/>
      <c r="R78" s="142">
        <f t="shared" si="65"/>
        <v>35000</v>
      </c>
      <c r="S78" s="141">
        <v>35000</v>
      </c>
      <c r="T78" s="133"/>
      <c r="U78" s="141">
        <v>35000</v>
      </c>
      <c r="V78" s="133"/>
      <c r="W78" s="141">
        <f t="shared" si="66"/>
        <v>35000</v>
      </c>
      <c r="X78" s="134"/>
      <c r="Y78" s="142">
        <f t="shared" si="67"/>
        <v>35000</v>
      </c>
      <c r="Z78" s="84"/>
      <c r="AA78" s="84"/>
    </row>
    <row r="79" spans="1:27" s="3" customFormat="1" ht="66">
      <c r="A79" s="163" t="s">
        <v>175</v>
      </c>
      <c r="B79" s="161" t="s">
        <v>89</v>
      </c>
      <c r="C79" s="141">
        <v>4663289.97</v>
      </c>
      <c r="D79" s="141"/>
      <c r="E79" s="141">
        <v>4663289.97</v>
      </c>
      <c r="F79" s="134"/>
      <c r="G79" s="142">
        <v>4663289.97</v>
      </c>
      <c r="H79" s="134"/>
      <c r="I79" s="142">
        <f t="shared" si="62"/>
        <v>4663289.97</v>
      </c>
      <c r="J79" s="134">
        <v>197558.45</v>
      </c>
      <c r="K79" s="142">
        <f t="shared" si="63"/>
        <v>4860848.42</v>
      </c>
      <c r="L79" s="141">
        <v>4849832.93</v>
      </c>
      <c r="M79" s="133"/>
      <c r="N79" s="141">
        <v>4849832.93</v>
      </c>
      <c r="O79" s="133"/>
      <c r="P79" s="141">
        <f t="shared" si="64"/>
        <v>4849832.93</v>
      </c>
      <c r="Q79" s="134"/>
      <c r="R79" s="142">
        <f t="shared" si="65"/>
        <v>4849832.93</v>
      </c>
      <c r="S79" s="141">
        <v>5043758.0999999996</v>
      </c>
      <c r="T79" s="133"/>
      <c r="U79" s="141">
        <v>5043758.0999999996</v>
      </c>
      <c r="V79" s="133"/>
      <c r="W79" s="141">
        <f t="shared" si="66"/>
        <v>5043758.0999999996</v>
      </c>
      <c r="X79" s="134"/>
      <c r="Y79" s="142">
        <f t="shared" si="67"/>
        <v>5043758.0999999996</v>
      </c>
      <c r="Z79" s="84"/>
      <c r="AA79" s="84"/>
    </row>
    <row r="80" spans="1:27" s="3" customFormat="1" ht="79.2">
      <c r="A80" s="163" t="s">
        <v>93</v>
      </c>
      <c r="B80" s="161" t="s">
        <v>89</v>
      </c>
      <c r="C80" s="141">
        <v>56017990.280000001</v>
      </c>
      <c r="D80" s="141"/>
      <c r="E80" s="141">
        <v>56017990.280000001</v>
      </c>
      <c r="F80" s="134"/>
      <c r="G80" s="142">
        <v>56017990.280000001</v>
      </c>
      <c r="H80" s="134"/>
      <c r="I80" s="142">
        <f t="shared" si="62"/>
        <v>56017990.280000001</v>
      </c>
      <c r="J80" s="134"/>
      <c r="K80" s="142">
        <f t="shared" si="63"/>
        <v>56017990.280000001</v>
      </c>
      <c r="L80" s="141">
        <v>59023646.920000002</v>
      </c>
      <c r="M80" s="133"/>
      <c r="N80" s="141">
        <v>59023646.920000002</v>
      </c>
      <c r="O80" s="133"/>
      <c r="P80" s="141">
        <f t="shared" si="64"/>
        <v>59023646.920000002</v>
      </c>
      <c r="Q80" s="134"/>
      <c r="R80" s="142">
        <f t="shared" si="65"/>
        <v>59023646.920000002</v>
      </c>
      <c r="S80" s="141">
        <v>59023620.75</v>
      </c>
      <c r="T80" s="133"/>
      <c r="U80" s="141">
        <v>59023620.75</v>
      </c>
      <c r="V80" s="133"/>
      <c r="W80" s="141">
        <f t="shared" si="66"/>
        <v>59023620.75</v>
      </c>
      <c r="X80" s="134"/>
      <c r="Y80" s="142">
        <f t="shared" si="67"/>
        <v>59023620.75</v>
      </c>
      <c r="Z80" s="84"/>
      <c r="AA80" s="84"/>
    </row>
    <row r="81" spans="1:27" s="91" customFormat="1" ht="52.8">
      <c r="A81" s="167" t="s">
        <v>126</v>
      </c>
      <c r="B81" s="168" t="s">
        <v>89</v>
      </c>
      <c r="C81" s="142">
        <v>22927352.84</v>
      </c>
      <c r="D81" s="142"/>
      <c r="E81" s="142">
        <v>22927352.84</v>
      </c>
      <c r="F81" s="134"/>
      <c r="G81" s="142">
        <v>22927352.84</v>
      </c>
      <c r="H81" s="134">
        <v>-8052175.8799999999</v>
      </c>
      <c r="I81" s="142">
        <f t="shared" si="62"/>
        <v>14875176.960000001</v>
      </c>
      <c r="J81" s="134">
        <v>22927352.84</v>
      </c>
      <c r="K81" s="142">
        <f t="shared" si="63"/>
        <v>37802529.799999997</v>
      </c>
      <c r="L81" s="142">
        <v>0</v>
      </c>
      <c r="M81" s="134"/>
      <c r="N81" s="142">
        <v>0</v>
      </c>
      <c r="O81" s="134"/>
      <c r="P81" s="141">
        <f t="shared" si="64"/>
        <v>0</v>
      </c>
      <c r="Q81" s="134"/>
      <c r="R81" s="142">
        <f t="shared" si="65"/>
        <v>0</v>
      </c>
      <c r="S81" s="142">
        <v>0</v>
      </c>
      <c r="T81" s="134"/>
      <c r="U81" s="142">
        <v>0</v>
      </c>
      <c r="V81" s="134"/>
      <c r="W81" s="141">
        <f t="shared" si="66"/>
        <v>0</v>
      </c>
      <c r="X81" s="134"/>
      <c r="Y81" s="142">
        <f t="shared" si="67"/>
        <v>0</v>
      </c>
      <c r="Z81" s="179"/>
      <c r="AA81" s="179"/>
    </row>
    <row r="82" spans="1:27" s="91" customFormat="1" ht="52.8">
      <c r="A82" s="167" t="s">
        <v>127</v>
      </c>
      <c r="B82" s="168" t="s">
        <v>89</v>
      </c>
      <c r="C82" s="142">
        <v>467905.16</v>
      </c>
      <c r="D82" s="142"/>
      <c r="E82" s="142">
        <v>467905.16</v>
      </c>
      <c r="F82" s="134"/>
      <c r="G82" s="142">
        <v>467905.16</v>
      </c>
      <c r="H82" s="134">
        <v>-164330.12</v>
      </c>
      <c r="I82" s="142">
        <f t="shared" si="62"/>
        <v>303575.03999999998</v>
      </c>
      <c r="J82" s="134">
        <v>467905.16</v>
      </c>
      <c r="K82" s="142">
        <f t="shared" si="63"/>
        <v>771480.2</v>
      </c>
      <c r="L82" s="142">
        <v>0</v>
      </c>
      <c r="M82" s="134"/>
      <c r="N82" s="142">
        <v>0</v>
      </c>
      <c r="O82" s="134"/>
      <c r="P82" s="141">
        <f t="shared" si="64"/>
        <v>0</v>
      </c>
      <c r="Q82" s="134"/>
      <c r="R82" s="142">
        <f t="shared" si="65"/>
        <v>0</v>
      </c>
      <c r="S82" s="142">
        <v>0</v>
      </c>
      <c r="T82" s="134"/>
      <c r="U82" s="142">
        <v>0</v>
      </c>
      <c r="V82" s="134"/>
      <c r="W82" s="141">
        <f t="shared" si="66"/>
        <v>0</v>
      </c>
      <c r="X82" s="134"/>
      <c r="Y82" s="142">
        <f t="shared" si="67"/>
        <v>0</v>
      </c>
      <c r="Z82" s="179"/>
      <c r="AA82" s="179"/>
    </row>
    <row r="83" spans="1:27" s="3" customFormat="1" ht="52.8">
      <c r="A83" s="163" t="s">
        <v>94</v>
      </c>
      <c r="B83" s="161" t="s">
        <v>95</v>
      </c>
      <c r="C83" s="141">
        <v>7755935.4000000004</v>
      </c>
      <c r="D83" s="141"/>
      <c r="E83" s="141">
        <v>7755935.4000000004</v>
      </c>
      <c r="F83" s="134">
        <v>-9398.7000000000007</v>
      </c>
      <c r="G83" s="142">
        <f>7755935.4+F83</f>
        <v>7746536.7000000002</v>
      </c>
      <c r="H83" s="134"/>
      <c r="I83" s="142">
        <f t="shared" si="62"/>
        <v>7746536.7000000002</v>
      </c>
      <c r="J83" s="134"/>
      <c r="K83" s="142">
        <f t="shared" si="63"/>
        <v>7746536.7000000002</v>
      </c>
      <c r="L83" s="141">
        <v>8162580</v>
      </c>
      <c r="M83" s="133">
        <v>-930850</v>
      </c>
      <c r="N83" s="141">
        <f>8162580+M83</f>
        <v>7231730</v>
      </c>
      <c r="O83" s="133"/>
      <c r="P83" s="141">
        <f t="shared" si="64"/>
        <v>7231730</v>
      </c>
      <c r="Q83" s="134"/>
      <c r="R83" s="142">
        <f t="shared" si="65"/>
        <v>7231730</v>
      </c>
      <c r="S83" s="141">
        <v>8162250</v>
      </c>
      <c r="T83" s="133">
        <v>-3651530</v>
      </c>
      <c r="U83" s="141">
        <f>8162250+T83</f>
        <v>4510720</v>
      </c>
      <c r="V83" s="133"/>
      <c r="W83" s="141">
        <f t="shared" si="66"/>
        <v>4510720</v>
      </c>
      <c r="X83" s="134"/>
      <c r="Y83" s="142">
        <f t="shared" si="67"/>
        <v>4510720</v>
      </c>
      <c r="Z83" s="84"/>
      <c r="AA83" s="84"/>
    </row>
    <row r="84" spans="1:27" s="3" customFormat="1" ht="66">
      <c r="A84" s="163" t="s">
        <v>96</v>
      </c>
      <c r="B84" s="161" t="s">
        <v>97</v>
      </c>
      <c r="C84" s="141">
        <v>7102432.9900000002</v>
      </c>
      <c r="D84" s="141"/>
      <c r="E84" s="141">
        <f>7102432.99+D84</f>
        <v>7102432.9900000002</v>
      </c>
      <c r="F84" s="134">
        <v>106281.64</v>
      </c>
      <c r="G84" s="142">
        <f>7102432.99+F84</f>
        <v>7208714.6299999999</v>
      </c>
      <c r="H84" s="134"/>
      <c r="I84" s="142">
        <f t="shared" ref="I84:I90" si="68">G84+H84</f>
        <v>7208714.6299999999</v>
      </c>
      <c r="J84" s="134">
        <v>-7208714.6299999999</v>
      </c>
      <c r="K84" s="142">
        <f t="shared" si="63"/>
        <v>0</v>
      </c>
      <c r="L84" s="141">
        <v>7308981.79</v>
      </c>
      <c r="M84" s="133">
        <v>327593.87</v>
      </c>
      <c r="N84" s="141">
        <f>7308981.79+M84</f>
        <v>7636575.6600000001</v>
      </c>
      <c r="O84" s="133"/>
      <c r="P84" s="141">
        <f t="shared" si="64"/>
        <v>7636575.6600000001</v>
      </c>
      <c r="Q84" s="134"/>
      <c r="R84" s="142">
        <f t="shared" si="65"/>
        <v>7636575.6600000001</v>
      </c>
      <c r="S84" s="141">
        <v>7563946.2699999996</v>
      </c>
      <c r="T84" s="133">
        <v>331892.99</v>
      </c>
      <c r="U84" s="141">
        <f>7563946.27+T84</f>
        <v>7895839.2599999998</v>
      </c>
      <c r="V84" s="133"/>
      <c r="W84" s="141">
        <f t="shared" si="66"/>
        <v>7895839.2599999998</v>
      </c>
      <c r="X84" s="134"/>
      <c r="Y84" s="142">
        <f t="shared" si="67"/>
        <v>7895839.2599999998</v>
      </c>
      <c r="Z84" s="84"/>
      <c r="AA84" s="84"/>
    </row>
    <row r="85" spans="1:27" s="3" customFormat="1" ht="39.6">
      <c r="A85" s="167" t="s">
        <v>98</v>
      </c>
      <c r="B85" s="161" t="s">
        <v>99</v>
      </c>
      <c r="C85" s="141">
        <v>2768405.85</v>
      </c>
      <c r="D85" s="141"/>
      <c r="E85" s="141">
        <f>2768405.85+D85</f>
        <v>2768405.85</v>
      </c>
      <c r="F85" s="134">
        <v>125931.3</v>
      </c>
      <c r="G85" s="142">
        <f>2768405.85+F85</f>
        <v>2894337.15</v>
      </c>
      <c r="H85" s="134"/>
      <c r="I85" s="142">
        <f t="shared" si="68"/>
        <v>2894337.15</v>
      </c>
      <c r="J85" s="134"/>
      <c r="K85" s="142">
        <f t="shared" si="63"/>
        <v>2894337.15</v>
      </c>
      <c r="L85" s="141">
        <v>2873951.95</v>
      </c>
      <c r="M85" s="133">
        <v>323381.2</v>
      </c>
      <c r="N85" s="141">
        <f>2873951.95+M85</f>
        <v>3197333.1500000004</v>
      </c>
      <c r="O85" s="133"/>
      <c r="P85" s="141">
        <f t="shared" si="64"/>
        <v>3197333.1500000004</v>
      </c>
      <c r="Q85" s="134"/>
      <c r="R85" s="142">
        <f t="shared" si="65"/>
        <v>3197333.1500000004</v>
      </c>
      <c r="S85" s="141">
        <v>2997845.9</v>
      </c>
      <c r="T85" s="133">
        <v>505223.05</v>
      </c>
      <c r="U85" s="141">
        <f>2997845.9+T85</f>
        <v>3503068.9499999997</v>
      </c>
      <c r="V85" s="133"/>
      <c r="W85" s="141">
        <f t="shared" si="66"/>
        <v>3503068.9499999997</v>
      </c>
      <c r="X85" s="134"/>
      <c r="Y85" s="142">
        <f t="shared" si="67"/>
        <v>3503068.9499999997</v>
      </c>
      <c r="Z85" s="84"/>
      <c r="AA85" s="84"/>
    </row>
    <row r="86" spans="1:27" s="3" customFormat="1" ht="52.8">
      <c r="A86" s="163" t="s">
        <v>100</v>
      </c>
      <c r="B86" s="161" t="s">
        <v>101</v>
      </c>
      <c r="C86" s="141">
        <v>1481.71</v>
      </c>
      <c r="D86" s="141"/>
      <c r="E86" s="141">
        <v>1481.71</v>
      </c>
      <c r="F86" s="134">
        <v>3704.34</v>
      </c>
      <c r="G86" s="142">
        <f>1481.71+F86</f>
        <v>5186.05</v>
      </c>
      <c r="H86" s="134"/>
      <c r="I86" s="142">
        <f t="shared" si="68"/>
        <v>5186.05</v>
      </c>
      <c r="J86" s="134"/>
      <c r="K86" s="142">
        <f t="shared" si="63"/>
        <v>5186.05</v>
      </c>
      <c r="L86" s="141">
        <v>1321.79</v>
      </c>
      <c r="M86" s="133">
        <v>4064.11</v>
      </c>
      <c r="N86" s="141">
        <f>1321.79+M86</f>
        <v>5385.9</v>
      </c>
      <c r="O86" s="133"/>
      <c r="P86" s="141">
        <f t="shared" si="64"/>
        <v>5385.9</v>
      </c>
      <c r="Q86" s="134"/>
      <c r="R86" s="142">
        <f t="shared" si="65"/>
        <v>5385.9</v>
      </c>
      <c r="S86" s="141">
        <v>1321.95</v>
      </c>
      <c r="T86" s="133">
        <v>129682.01</v>
      </c>
      <c r="U86" s="141">
        <f>1321.95+T86</f>
        <v>131003.95999999999</v>
      </c>
      <c r="V86" s="133"/>
      <c r="W86" s="141">
        <f t="shared" si="66"/>
        <v>131003.95999999999</v>
      </c>
      <c r="X86" s="134"/>
      <c r="Y86" s="142">
        <f t="shared" si="67"/>
        <v>131003.95999999999</v>
      </c>
      <c r="Z86" s="84"/>
      <c r="AA86" s="84"/>
    </row>
    <row r="87" spans="1:27" s="3" customFormat="1" ht="52.8">
      <c r="A87" s="169" t="s">
        <v>102</v>
      </c>
      <c r="B87" s="161" t="s">
        <v>103</v>
      </c>
      <c r="C87" s="141">
        <v>29774615</v>
      </c>
      <c r="D87" s="141"/>
      <c r="E87" s="141">
        <v>29774615</v>
      </c>
      <c r="F87" s="134">
        <v>126160</v>
      </c>
      <c r="G87" s="142">
        <f>29774615+F87</f>
        <v>29900775</v>
      </c>
      <c r="H87" s="134"/>
      <c r="I87" s="142">
        <f t="shared" si="68"/>
        <v>29900775</v>
      </c>
      <c r="J87" s="134"/>
      <c r="K87" s="142">
        <f t="shared" si="63"/>
        <v>29900775</v>
      </c>
      <c r="L87" s="141">
        <v>30027030</v>
      </c>
      <c r="M87" s="133">
        <v>252320</v>
      </c>
      <c r="N87" s="141">
        <f>30027030+M87</f>
        <v>30279350</v>
      </c>
      <c r="O87" s="133"/>
      <c r="P87" s="141">
        <f t="shared" si="64"/>
        <v>30279350</v>
      </c>
      <c r="Q87" s="134"/>
      <c r="R87" s="142">
        <f t="shared" si="65"/>
        <v>30279350</v>
      </c>
      <c r="S87" s="141">
        <v>29900775</v>
      </c>
      <c r="T87" s="133">
        <v>126255</v>
      </c>
      <c r="U87" s="141">
        <f>29900775+T87</f>
        <v>30027030</v>
      </c>
      <c r="V87" s="133"/>
      <c r="W87" s="141">
        <f t="shared" si="66"/>
        <v>30027030</v>
      </c>
      <c r="X87" s="134"/>
      <c r="Y87" s="142">
        <f t="shared" si="67"/>
        <v>30027030</v>
      </c>
      <c r="Z87" s="84"/>
      <c r="AA87" s="84"/>
    </row>
    <row r="88" spans="1:27" s="3" customFormat="1" ht="26.4">
      <c r="A88" s="163" t="s">
        <v>104</v>
      </c>
      <c r="B88" s="161" t="s">
        <v>105</v>
      </c>
      <c r="C88" s="141">
        <v>8677923.2799999993</v>
      </c>
      <c r="D88" s="141"/>
      <c r="E88" s="141">
        <v>8677923.2799999993</v>
      </c>
      <c r="F88" s="134"/>
      <c r="G88" s="142">
        <v>8677923.2799999993</v>
      </c>
      <c r="H88" s="134"/>
      <c r="I88" s="142">
        <f t="shared" si="68"/>
        <v>8677923.2799999993</v>
      </c>
      <c r="J88" s="134"/>
      <c r="K88" s="142">
        <f t="shared" si="63"/>
        <v>8677923.2799999993</v>
      </c>
      <c r="L88" s="141">
        <v>8755102.5099999998</v>
      </c>
      <c r="M88" s="133"/>
      <c r="N88" s="141">
        <v>8755102.5099999998</v>
      </c>
      <c r="O88" s="133"/>
      <c r="P88" s="141">
        <f t="shared" si="64"/>
        <v>8755102.5099999998</v>
      </c>
      <c r="Q88" s="134"/>
      <c r="R88" s="142">
        <f t="shared" si="65"/>
        <v>8755102.5099999998</v>
      </c>
      <c r="S88" s="141">
        <v>9066906.6099999994</v>
      </c>
      <c r="T88" s="133"/>
      <c r="U88" s="141">
        <v>9066906.6099999994</v>
      </c>
      <c r="V88" s="133"/>
      <c r="W88" s="141">
        <f t="shared" si="66"/>
        <v>9066906.6099999994</v>
      </c>
      <c r="X88" s="134"/>
      <c r="Y88" s="142">
        <f t="shared" si="67"/>
        <v>9066906.6099999994</v>
      </c>
      <c r="Z88" s="84"/>
      <c r="AA88" s="84"/>
    </row>
    <row r="89" spans="1:27" s="3" customFormat="1" ht="26.4">
      <c r="A89" s="163" t="s">
        <v>106</v>
      </c>
      <c r="B89" s="161" t="s">
        <v>107</v>
      </c>
      <c r="C89" s="141">
        <v>780010300</v>
      </c>
      <c r="D89" s="141"/>
      <c r="E89" s="141">
        <v>780010300</v>
      </c>
      <c r="F89" s="134"/>
      <c r="G89" s="142">
        <v>780010300</v>
      </c>
      <c r="H89" s="134"/>
      <c r="I89" s="142">
        <f t="shared" si="68"/>
        <v>780010300</v>
      </c>
      <c r="J89" s="134">
        <v>8563800</v>
      </c>
      <c r="K89" s="142">
        <f t="shared" si="63"/>
        <v>788574100</v>
      </c>
      <c r="L89" s="141">
        <v>813691700</v>
      </c>
      <c r="M89" s="133"/>
      <c r="N89" s="141">
        <v>813691700</v>
      </c>
      <c r="O89" s="133"/>
      <c r="P89" s="141">
        <f t="shared" si="64"/>
        <v>813691700</v>
      </c>
      <c r="Q89" s="134"/>
      <c r="R89" s="142">
        <f t="shared" si="65"/>
        <v>813691700</v>
      </c>
      <c r="S89" s="141">
        <v>820055300</v>
      </c>
      <c r="T89" s="133"/>
      <c r="U89" s="141">
        <v>820055300</v>
      </c>
      <c r="V89" s="133"/>
      <c r="W89" s="141">
        <f t="shared" si="66"/>
        <v>820055300</v>
      </c>
      <c r="X89" s="134"/>
      <c r="Y89" s="142">
        <f t="shared" si="67"/>
        <v>820055300</v>
      </c>
      <c r="Z89" s="84"/>
      <c r="AA89" s="84"/>
    </row>
    <row r="90" spans="1:27" s="3" customFormat="1" ht="52.8">
      <c r="A90" s="163" t="s">
        <v>108</v>
      </c>
      <c r="B90" s="161" t="s">
        <v>107</v>
      </c>
      <c r="C90" s="141">
        <v>40625528.090000004</v>
      </c>
      <c r="D90" s="141"/>
      <c r="E90" s="141">
        <v>40625528.090000004</v>
      </c>
      <c r="F90" s="134">
        <v>-10628.16</v>
      </c>
      <c r="G90" s="142">
        <f>40625528.09+F90</f>
        <v>40614899.930000007</v>
      </c>
      <c r="H90" s="134"/>
      <c r="I90" s="142">
        <f t="shared" si="68"/>
        <v>40614899.930000007</v>
      </c>
      <c r="J90" s="134">
        <v>7208714.6299999999</v>
      </c>
      <c r="K90" s="142">
        <f t="shared" si="63"/>
        <v>47823614.56000001</v>
      </c>
      <c r="L90" s="141">
        <v>22834794.960000001</v>
      </c>
      <c r="M90" s="133">
        <v>1782585.08</v>
      </c>
      <c r="N90" s="141">
        <f>22834794.96+M90</f>
        <v>24617380.039999999</v>
      </c>
      <c r="O90" s="133"/>
      <c r="P90" s="141">
        <f t="shared" si="64"/>
        <v>24617380.039999999</v>
      </c>
      <c r="Q90" s="134"/>
      <c r="R90" s="142">
        <f t="shared" si="65"/>
        <v>24617380.039999999</v>
      </c>
      <c r="S90" s="141">
        <v>22834794.960000001</v>
      </c>
      <c r="T90" s="133">
        <v>1783226.99</v>
      </c>
      <c r="U90" s="141">
        <f>22834794.96+T90</f>
        <v>24618021.949999999</v>
      </c>
      <c r="V90" s="133"/>
      <c r="W90" s="141">
        <f t="shared" si="66"/>
        <v>24618021.949999999</v>
      </c>
      <c r="X90" s="134"/>
      <c r="Y90" s="142">
        <f t="shared" si="67"/>
        <v>24618021.949999999</v>
      </c>
      <c r="Z90" s="84"/>
      <c r="AA90" s="84"/>
    </row>
    <row r="91" spans="1:27" s="3" customFormat="1">
      <c r="A91" s="163"/>
      <c r="B91" s="161"/>
      <c r="C91" s="141"/>
      <c r="D91" s="141"/>
      <c r="E91" s="141"/>
      <c r="F91" s="134"/>
      <c r="G91" s="142"/>
      <c r="H91" s="134"/>
      <c r="I91" s="142"/>
      <c r="J91" s="134"/>
      <c r="K91" s="142"/>
      <c r="L91" s="141"/>
      <c r="M91" s="133"/>
      <c r="N91" s="141"/>
      <c r="O91" s="133"/>
      <c r="P91" s="141"/>
      <c r="Q91" s="134"/>
      <c r="R91" s="142"/>
      <c r="S91" s="141"/>
      <c r="T91" s="133"/>
      <c r="U91" s="141"/>
      <c r="V91" s="133"/>
      <c r="W91" s="141"/>
      <c r="X91" s="134"/>
      <c r="Y91" s="142"/>
      <c r="Z91" s="84"/>
      <c r="AA91" s="84"/>
    </row>
    <row r="92" spans="1:27" s="88" customFormat="1" ht="26.4">
      <c r="A92" s="162" t="s">
        <v>109</v>
      </c>
      <c r="B92" s="54" t="s">
        <v>110</v>
      </c>
      <c r="C92" s="133">
        <f>SUM(C94:C96)</f>
        <v>74735451.409999996</v>
      </c>
      <c r="D92" s="133"/>
      <c r="E92" s="133">
        <f>SUM(E93:E107)</f>
        <v>74735451.409999996</v>
      </c>
      <c r="F92" s="133">
        <f t="shared" ref="F92:G92" si="69">SUM(F93:F107)</f>
        <v>1030059947.58</v>
      </c>
      <c r="G92" s="133">
        <f t="shared" si="69"/>
        <v>1104795398.99</v>
      </c>
      <c r="H92" s="134">
        <f t="shared" ref="H92:I92" si="70">SUM(H93:H107)</f>
        <v>52000</v>
      </c>
      <c r="I92" s="134">
        <f t="shared" si="70"/>
        <v>1104847398.99</v>
      </c>
      <c r="J92" s="134">
        <f t="shared" ref="J92:K92" si="71">SUM(J93:J107)</f>
        <v>1854248.0699999998</v>
      </c>
      <c r="K92" s="134">
        <f t="shared" si="71"/>
        <v>1106701647.0599999</v>
      </c>
      <c r="L92" s="133">
        <f>SUM(L93:L101)</f>
        <v>1568044.12</v>
      </c>
      <c r="M92" s="133">
        <f t="shared" ref="M92:T92" si="72">SUM(M93:M101)</f>
        <v>4396968.58</v>
      </c>
      <c r="N92" s="133">
        <f>SUM(N93:N107)</f>
        <v>5965012.7000000002</v>
      </c>
      <c r="O92" s="133">
        <f t="shared" ref="O92:P92" si="73">SUM(O93:O107)</f>
        <v>37564.14</v>
      </c>
      <c r="P92" s="133">
        <f t="shared" si="73"/>
        <v>6002576.8399999999</v>
      </c>
      <c r="Q92" s="134">
        <f t="shared" ref="Q92:R92" si="74">SUM(Q93:Q107)</f>
        <v>502342.18</v>
      </c>
      <c r="R92" s="134">
        <f t="shared" si="74"/>
        <v>6504919.0199999996</v>
      </c>
      <c r="S92" s="133">
        <f t="shared" si="72"/>
        <v>1568044.12</v>
      </c>
      <c r="T92" s="133">
        <f t="shared" si="72"/>
        <v>84873170.140000001</v>
      </c>
      <c r="U92" s="133">
        <f>SUM(U93:U107)</f>
        <v>86441214.260000005</v>
      </c>
      <c r="V92" s="133">
        <f t="shared" ref="V92:W92" si="75">SUM(V93:V107)</f>
        <v>37564.14</v>
      </c>
      <c r="W92" s="133">
        <f t="shared" si="75"/>
        <v>86478778.400000006</v>
      </c>
      <c r="X92" s="134">
        <f t="shared" ref="X92:Y92" si="76">SUM(X93:X107)</f>
        <v>1497771.17</v>
      </c>
      <c r="Y92" s="134">
        <f t="shared" si="76"/>
        <v>87976549.570000008</v>
      </c>
      <c r="Z92" s="178"/>
      <c r="AA92" s="178"/>
    </row>
    <row r="93" spans="1:27" s="3" customFormat="1" ht="79.95" customHeight="1">
      <c r="A93" s="163" t="s">
        <v>135</v>
      </c>
      <c r="B93" s="161" t="s">
        <v>134</v>
      </c>
      <c r="C93" s="141"/>
      <c r="D93" s="141"/>
      <c r="E93" s="141">
        <v>0</v>
      </c>
      <c r="F93" s="134">
        <v>4396968.58</v>
      </c>
      <c r="G93" s="142">
        <f>E93+F93</f>
        <v>4396968.58</v>
      </c>
      <c r="H93" s="134"/>
      <c r="I93" s="142">
        <f>G93+H93</f>
        <v>4396968.58</v>
      </c>
      <c r="J93" s="134"/>
      <c r="K93" s="142">
        <f>I93+J93</f>
        <v>4396968.58</v>
      </c>
      <c r="L93" s="141">
        <v>0</v>
      </c>
      <c r="M93" s="133">
        <v>4396968.58</v>
      </c>
      <c r="N93" s="141">
        <f>L93+M93</f>
        <v>4396968.58</v>
      </c>
      <c r="O93" s="133"/>
      <c r="P93" s="141">
        <f>N93+O93</f>
        <v>4396968.58</v>
      </c>
      <c r="Q93" s="134"/>
      <c r="R93" s="142">
        <f>P93+Q93</f>
        <v>4396968.58</v>
      </c>
      <c r="S93" s="141">
        <v>0</v>
      </c>
      <c r="T93" s="133">
        <v>5315495.72</v>
      </c>
      <c r="U93" s="141">
        <f>S93+T93</f>
        <v>5315495.72</v>
      </c>
      <c r="V93" s="133"/>
      <c r="W93" s="141">
        <f>U93+V93</f>
        <v>5315495.72</v>
      </c>
      <c r="X93" s="134"/>
      <c r="Y93" s="142">
        <f>W93+X93</f>
        <v>5315495.72</v>
      </c>
      <c r="Z93" s="84"/>
      <c r="AA93" s="84"/>
    </row>
    <row r="94" spans="1:27" ht="26.4">
      <c r="A94" s="163" t="s">
        <v>111</v>
      </c>
      <c r="B94" s="161" t="s">
        <v>112</v>
      </c>
      <c r="C94" s="141">
        <v>1595820.1</v>
      </c>
      <c r="D94" s="141"/>
      <c r="E94" s="141">
        <v>1595820.1</v>
      </c>
      <c r="F94" s="134"/>
      <c r="G94" s="142">
        <f>1595820.1+F94</f>
        <v>1595820.1</v>
      </c>
      <c r="H94" s="134"/>
      <c r="I94" s="142">
        <f>G94+H94</f>
        <v>1595820.1</v>
      </c>
      <c r="J94" s="134"/>
      <c r="K94" s="142">
        <f>I94+J94</f>
        <v>1595820.1</v>
      </c>
      <c r="L94" s="141">
        <v>1568044.12</v>
      </c>
      <c r="M94" s="133"/>
      <c r="N94" s="141">
        <v>1568044.12</v>
      </c>
      <c r="O94" s="133"/>
      <c r="P94" s="141">
        <f t="shared" ref="P94:P103" si="77">N94+O94</f>
        <v>1568044.12</v>
      </c>
      <c r="Q94" s="134"/>
      <c r="R94" s="142">
        <f t="shared" ref="R94:R106" si="78">P94+Q94</f>
        <v>1568044.12</v>
      </c>
      <c r="S94" s="141">
        <v>1568044.12</v>
      </c>
      <c r="T94" s="133"/>
      <c r="U94" s="141">
        <f>S94+T94</f>
        <v>1568044.12</v>
      </c>
      <c r="V94" s="133"/>
      <c r="W94" s="141">
        <f t="shared" ref="W94:W103" si="79">U94+V94</f>
        <v>1568044.12</v>
      </c>
      <c r="X94" s="134"/>
      <c r="Y94" s="142">
        <f t="shared" ref="Y94:Y106" si="80">W94+X94</f>
        <v>1568044.12</v>
      </c>
    </row>
    <row r="95" spans="1:27" ht="118.8">
      <c r="A95" s="163" t="s">
        <v>113</v>
      </c>
      <c r="B95" s="161" t="s">
        <v>112</v>
      </c>
      <c r="C95" s="141">
        <v>19631.310000000001</v>
      </c>
      <c r="D95" s="141"/>
      <c r="E95" s="141">
        <v>19631.310000000001</v>
      </c>
      <c r="F95" s="134"/>
      <c r="G95" s="142">
        <v>19631.310000000001</v>
      </c>
      <c r="H95" s="134"/>
      <c r="I95" s="142">
        <f>G95+H95</f>
        <v>19631.310000000001</v>
      </c>
      <c r="J95" s="134"/>
      <c r="K95" s="142">
        <f>I95+J95</f>
        <v>19631.310000000001</v>
      </c>
      <c r="L95" s="141">
        <v>0</v>
      </c>
      <c r="M95" s="133"/>
      <c r="N95" s="141">
        <v>0</v>
      </c>
      <c r="O95" s="133"/>
      <c r="P95" s="141">
        <f t="shared" si="77"/>
        <v>0</v>
      </c>
      <c r="Q95" s="134"/>
      <c r="R95" s="142">
        <f t="shared" si="78"/>
        <v>0</v>
      </c>
      <c r="S95" s="141">
        <v>0</v>
      </c>
      <c r="T95" s="133"/>
      <c r="U95" s="141">
        <f>S95+T95</f>
        <v>0</v>
      </c>
      <c r="V95" s="133"/>
      <c r="W95" s="141">
        <f t="shared" si="79"/>
        <v>0</v>
      </c>
      <c r="X95" s="134"/>
      <c r="Y95" s="142">
        <f t="shared" si="80"/>
        <v>0</v>
      </c>
    </row>
    <row r="96" spans="1:27" ht="39.6">
      <c r="A96" s="163" t="s">
        <v>114</v>
      </c>
      <c r="B96" s="161" t="s">
        <v>112</v>
      </c>
      <c r="C96" s="141">
        <v>73120000</v>
      </c>
      <c r="D96" s="141"/>
      <c r="E96" s="141">
        <v>73120000</v>
      </c>
      <c r="F96" s="134"/>
      <c r="G96" s="142">
        <f>73120000+F96</f>
        <v>73120000</v>
      </c>
      <c r="H96" s="134"/>
      <c r="I96" s="142">
        <f t="shared" ref="I96:I103" si="81">G96+H96</f>
        <v>73120000</v>
      </c>
      <c r="J96" s="134"/>
      <c r="K96" s="142">
        <f t="shared" ref="K96:K106" si="82">I96+J96</f>
        <v>73120000</v>
      </c>
      <c r="L96" s="141">
        <v>0</v>
      </c>
      <c r="M96" s="133"/>
      <c r="N96" s="141">
        <v>0</v>
      </c>
      <c r="O96" s="133"/>
      <c r="P96" s="141">
        <f t="shared" si="77"/>
        <v>0</v>
      </c>
      <c r="Q96" s="134"/>
      <c r="R96" s="142">
        <f t="shared" si="78"/>
        <v>0</v>
      </c>
      <c r="S96" s="141">
        <v>0</v>
      </c>
      <c r="T96" s="133"/>
      <c r="U96" s="141">
        <f>S96+T96</f>
        <v>0</v>
      </c>
      <c r="V96" s="133"/>
      <c r="W96" s="141">
        <f t="shared" si="79"/>
        <v>0</v>
      </c>
      <c r="X96" s="134"/>
      <c r="Y96" s="142">
        <f t="shared" si="80"/>
        <v>0</v>
      </c>
    </row>
    <row r="97" spans="1:27" ht="44.4" customHeight="1">
      <c r="A97" s="163" t="s">
        <v>132</v>
      </c>
      <c r="B97" s="161" t="s">
        <v>112</v>
      </c>
      <c r="C97" s="141"/>
      <c r="D97" s="141"/>
      <c r="E97" s="141"/>
      <c r="F97" s="134">
        <v>13629179</v>
      </c>
      <c r="G97" s="142">
        <f>E97+F97</f>
        <v>13629179</v>
      </c>
      <c r="H97" s="134"/>
      <c r="I97" s="142">
        <f t="shared" si="81"/>
        <v>13629179</v>
      </c>
      <c r="J97" s="134"/>
      <c r="K97" s="142">
        <f t="shared" si="82"/>
        <v>13629179</v>
      </c>
      <c r="L97" s="141"/>
      <c r="M97" s="133"/>
      <c r="N97" s="141"/>
      <c r="O97" s="133"/>
      <c r="P97" s="141">
        <f t="shared" si="77"/>
        <v>0</v>
      </c>
      <c r="Q97" s="134"/>
      <c r="R97" s="142">
        <f t="shared" si="78"/>
        <v>0</v>
      </c>
      <c r="S97" s="141"/>
      <c r="T97" s="133"/>
      <c r="U97" s="141">
        <f t="shared" ref="U97:U101" si="83">S97+T97</f>
        <v>0</v>
      </c>
      <c r="V97" s="133"/>
      <c r="W97" s="141">
        <f t="shared" si="79"/>
        <v>0</v>
      </c>
      <c r="X97" s="134"/>
      <c r="Y97" s="142">
        <f t="shared" si="80"/>
        <v>0</v>
      </c>
    </row>
    <row r="98" spans="1:27" ht="52.8">
      <c r="A98" s="163" t="s">
        <v>133</v>
      </c>
      <c r="B98" s="161" t="s">
        <v>112</v>
      </c>
      <c r="C98" s="141"/>
      <c r="D98" s="141"/>
      <c r="E98" s="141"/>
      <c r="F98" s="134">
        <v>1383800</v>
      </c>
      <c r="G98" s="142">
        <f t="shared" ref="G98:G102" si="84">E98+F98</f>
        <v>1383800</v>
      </c>
      <c r="H98" s="134"/>
      <c r="I98" s="142">
        <f t="shared" si="81"/>
        <v>1383800</v>
      </c>
      <c r="J98" s="134"/>
      <c r="K98" s="142">
        <f t="shared" si="82"/>
        <v>1383800</v>
      </c>
      <c r="L98" s="141"/>
      <c r="M98" s="133"/>
      <c r="N98" s="141"/>
      <c r="O98" s="133"/>
      <c r="P98" s="141">
        <f t="shared" si="77"/>
        <v>0</v>
      </c>
      <c r="Q98" s="134"/>
      <c r="R98" s="142">
        <f t="shared" si="78"/>
        <v>0</v>
      </c>
      <c r="S98" s="141"/>
      <c r="T98" s="133"/>
      <c r="U98" s="141">
        <f t="shared" si="83"/>
        <v>0</v>
      </c>
      <c r="V98" s="133"/>
      <c r="W98" s="141">
        <f t="shared" si="79"/>
        <v>0</v>
      </c>
      <c r="X98" s="134"/>
      <c r="Y98" s="142">
        <f t="shared" si="80"/>
        <v>0</v>
      </c>
    </row>
    <row r="99" spans="1:27" ht="42" customHeight="1">
      <c r="A99" s="163" t="s">
        <v>139</v>
      </c>
      <c r="B99" s="161" t="s">
        <v>112</v>
      </c>
      <c r="C99" s="141"/>
      <c r="D99" s="141"/>
      <c r="E99" s="141"/>
      <c r="F99" s="134">
        <v>30575020.420000002</v>
      </c>
      <c r="G99" s="142">
        <f t="shared" si="84"/>
        <v>30575020.420000002</v>
      </c>
      <c r="H99" s="134"/>
      <c r="I99" s="142">
        <f t="shared" si="81"/>
        <v>30575020.420000002</v>
      </c>
      <c r="J99" s="134"/>
      <c r="K99" s="142">
        <f t="shared" si="82"/>
        <v>30575020.420000002</v>
      </c>
      <c r="L99" s="141"/>
      <c r="M99" s="133"/>
      <c r="N99" s="141"/>
      <c r="O99" s="133"/>
      <c r="P99" s="141">
        <f t="shared" si="77"/>
        <v>0</v>
      </c>
      <c r="Q99" s="134"/>
      <c r="R99" s="142">
        <f t="shared" si="78"/>
        <v>0</v>
      </c>
      <c r="S99" s="141"/>
      <c r="T99" s="133"/>
      <c r="U99" s="141">
        <f t="shared" si="83"/>
        <v>0</v>
      </c>
      <c r="V99" s="133"/>
      <c r="W99" s="141">
        <f t="shared" si="79"/>
        <v>0</v>
      </c>
      <c r="X99" s="134"/>
      <c r="Y99" s="142">
        <f t="shared" si="80"/>
        <v>0</v>
      </c>
    </row>
    <row r="100" spans="1:27" ht="42" customHeight="1">
      <c r="A100" s="163" t="s">
        <v>140</v>
      </c>
      <c r="B100" s="161" t="s">
        <v>112</v>
      </c>
      <c r="C100" s="141"/>
      <c r="D100" s="141"/>
      <c r="E100" s="141"/>
      <c r="F100" s="134">
        <v>0</v>
      </c>
      <c r="G100" s="142">
        <v>0</v>
      </c>
      <c r="H100" s="134"/>
      <c r="I100" s="142">
        <f t="shared" si="81"/>
        <v>0</v>
      </c>
      <c r="J100" s="134"/>
      <c r="K100" s="142">
        <f t="shared" si="82"/>
        <v>0</v>
      </c>
      <c r="L100" s="141"/>
      <c r="M100" s="133"/>
      <c r="N100" s="141"/>
      <c r="O100" s="133"/>
      <c r="P100" s="141">
        <f t="shared" si="77"/>
        <v>0</v>
      </c>
      <c r="Q100" s="134"/>
      <c r="R100" s="142">
        <f t="shared" si="78"/>
        <v>0</v>
      </c>
      <c r="S100" s="141"/>
      <c r="T100" s="133">
        <v>79557674.420000002</v>
      </c>
      <c r="U100" s="141">
        <f t="shared" si="83"/>
        <v>79557674.420000002</v>
      </c>
      <c r="V100" s="133"/>
      <c r="W100" s="141">
        <f t="shared" si="79"/>
        <v>79557674.420000002</v>
      </c>
      <c r="X100" s="134"/>
      <c r="Y100" s="142">
        <f t="shared" si="80"/>
        <v>79557674.420000002</v>
      </c>
    </row>
    <row r="101" spans="1:27" ht="66" customHeight="1">
      <c r="A101" s="163" t="s">
        <v>137</v>
      </c>
      <c r="B101" s="161" t="s">
        <v>112</v>
      </c>
      <c r="C101" s="141"/>
      <c r="D101" s="141"/>
      <c r="E101" s="141"/>
      <c r="F101" s="134">
        <v>2774979.58</v>
      </c>
      <c r="G101" s="142">
        <f t="shared" si="84"/>
        <v>2774979.58</v>
      </c>
      <c r="H101" s="134"/>
      <c r="I101" s="142">
        <f t="shared" si="81"/>
        <v>2774979.58</v>
      </c>
      <c r="J101" s="134"/>
      <c r="K101" s="142">
        <f t="shared" si="82"/>
        <v>2774979.58</v>
      </c>
      <c r="L101" s="141"/>
      <c r="M101" s="133"/>
      <c r="N101" s="141"/>
      <c r="O101" s="133"/>
      <c r="P101" s="141">
        <f t="shared" si="77"/>
        <v>0</v>
      </c>
      <c r="Q101" s="134"/>
      <c r="R101" s="142">
        <f t="shared" si="78"/>
        <v>0</v>
      </c>
      <c r="S101" s="141"/>
      <c r="T101" s="133"/>
      <c r="U101" s="141">
        <f t="shared" si="83"/>
        <v>0</v>
      </c>
      <c r="V101" s="133"/>
      <c r="W101" s="141">
        <f t="shared" si="79"/>
        <v>0</v>
      </c>
      <c r="X101" s="134"/>
      <c r="Y101" s="142">
        <f t="shared" si="80"/>
        <v>0</v>
      </c>
    </row>
    <row r="102" spans="1:27" ht="55.95" customHeight="1">
      <c r="A102" s="163" t="s">
        <v>146</v>
      </c>
      <c r="B102" s="161" t="s">
        <v>112</v>
      </c>
      <c r="C102" s="141"/>
      <c r="D102" s="141"/>
      <c r="E102" s="141"/>
      <c r="F102" s="134">
        <v>977300000</v>
      </c>
      <c r="G102" s="142">
        <f t="shared" si="84"/>
        <v>977300000</v>
      </c>
      <c r="H102" s="134"/>
      <c r="I102" s="142">
        <f t="shared" si="81"/>
        <v>977300000</v>
      </c>
      <c r="J102" s="134"/>
      <c r="K102" s="142">
        <f t="shared" si="82"/>
        <v>977300000</v>
      </c>
      <c r="L102" s="141"/>
      <c r="M102" s="133"/>
      <c r="N102" s="141"/>
      <c r="O102" s="133"/>
      <c r="P102" s="141">
        <f t="shared" si="77"/>
        <v>0</v>
      </c>
      <c r="Q102" s="134"/>
      <c r="R102" s="142">
        <f t="shared" si="78"/>
        <v>0</v>
      </c>
      <c r="S102" s="141"/>
      <c r="T102" s="133"/>
      <c r="U102" s="141"/>
      <c r="V102" s="133"/>
      <c r="W102" s="141">
        <f t="shared" si="79"/>
        <v>0</v>
      </c>
      <c r="X102" s="134"/>
      <c r="Y102" s="142">
        <f t="shared" si="80"/>
        <v>0</v>
      </c>
    </row>
    <row r="103" spans="1:27" ht="65.400000000000006" customHeight="1">
      <c r="A103" s="163" t="s">
        <v>161</v>
      </c>
      <c r="B103" s="161" t="s">
        <v>112</v>
      </c>
      <c r="C103" s="141"/>
      <c r="D103" s="141"/>
      <c r="E103" s="141"/>
      <c r="F103" s="134"/>
      <c r="G103" s="142"/>
      <c r="H103" s="134">
        <v>52000</v>
      </c>
      <c r="I103" s="142">
        <f t="shared" si="81"/>
        <v>52000</v>
      </c>
      <c r="J103" s="134"/>
      <c r="K103" s="142">
        <f t="shared" si="82"/>
        <v>52000</v>
      </c>
      <c r="L103" s="141"/>
      <c r="M103" s="133"/>
      <c r="N103" s="141"/>
      <c r="O103" s="133">
        <v>37564.14</v>
      </c>
      <c r="P103" s="141">
        <f t="shared" si="77"/>
        <v>37564.14</v>
      </c>
      <c r="Q103" s="134"/>
      <c r="R103" s="142">
        <f t="shared" si="78"/>
        <v>37564.14</v>
      </c>
      <c r="S103" s="141"/>
      <c r="T103" s="133"/>
      <c r="U103" s="141"/>
      <c r="V103" s="133">
        <v>37564.14</v>
      </c>
      <c r="W103" s="141">
        <f t="shared" si="79"/>
        <v>37564.14</v>
      </c>
      <c r="X103" s="134"/>
      <c r="Y103" s="142">
        <f t="shared" si="80"/>
        <v>37564.14</v>
      </c>
    </row>
    <row r="104" spans="1:27" ht="128.4" customHeight="1">
      <c r="A104" s="163" t="s">
        <v>171</v>
      </c>
      <c r="B104" s="161" t="s">
        <v>112</v>
      </c>
      <c r="C104" s="141"/>
      <c r="D104" s="141"/>
      <c r="E104" s="141"/>
      <c r="F104" s="134"/>
      <c r="G104" s="142"/>
      <c r="H104" s="134"/>
      <c r="I104" s="142"/>
      <c r="J104" s="134">
        <v>696383.99</v>
      </c>
      <c r="K104" s="142">
        <f t="shared" si="82"/>
        <v>696383.99</v>
      </c>
      <c r="L104" s="141"/>
      <c r="M104" s="133"/>
      <c r="N104" s="141"/>
      <c r="O104" s="133"/>
      <c r="P104" s="141"/>
      <c r="Q104" s="134"/>
      <c r="R104" s="142">
        <f t="shared" si="78"/>
        <v>0</v>
      </c>
      <c r="S104" s="141"/>
      <c r="T104" s="133"/>
      <c r="U104" s="141"/>
      <c r="V104" s="133"/>
      <c r="W104" s="141"/>
      <c r="X104" s="134"/>
      <c r="Y104" s="142">
        <f t="shared" si="80"/>
        <v>0</v>
      </c>
    </row>
    <row r="105" spans="1:27" ht="72" customHeight="1">
      <c r="A105" s="163" t="s">
        <v>173</v>
      </c>
      <c r="B105" s="161" t="s">
        <v>112</v>
      </c>
      <c r="C105" s="141"/>
      <c r="D105" s="141"/>
      <c r="E105" s="141"/>
      <c r="F105" s="134"/>
      <c r="G105" s="142"/>
      <c r="H105" s="134"/>
      <c r="I105" s="142"/>
      <c r="J105" s="134">
        <v>737864.08</v>
      </c>
      <c r="K105" s="142">
        <f t="shared" si="82"/>
        <v>737864.08</v>
      </c>
      <c r="L105" s="141"/>
      <c r="M105" s="133"/>
      <c r="N105" s="141"/>
      <c r="O105" s="133"/>
      <c r="P105" s="141"/>
      <c r="Q105" s="134">
        <v>502342.18</v>
      </c>
      <c r="R105" s="142">
        <f t="shared" si="78"/>
        <v>502342.18</v>
      </c>
      <c r="S105" s="141"/>
      <c r="T105" s="133"/>
      <c r="U105" s="141"/>
      <c r="V105" s="133"/>
      <c r="W105" s="141"/>
      <c r="X105" s="134">
        <v>1497771.17</v>
      </c>
      <c r="Y105" s="142">
        <f t="shared" si="80"/>
        <v>1497771.17</v>
      </c>
    </row>
    <row r="106" spans="1:27" ht="54.6" customHeight="1">
      <c r="A106" s="163" t="s">
        <v>168</v>
      </c>
      <c r="B106" s="161" t="s">
        <v>112</v>
      </c>
      <c r="C106" s="141"/>
      <c r="D106" s="141"/>
      <c r="E106" s="141"/>
      <c r="F106" s="134"/>
      <c r="G106" s="142"/>
      <c r="H106" s="134"/>
      <c r="I106" s="142"/>
      <c r="J106" s="134">
        <v>420000</v>
      </c>
      <c r="K106" s="142">
        <f t="shared" si="82"/>
        <v>420000</v>
      </c>
      <c r="L106" s="141"/>
      <c r="M106" s="133"/>
      <c r="N106" s="141"/>
      <c r="O106" s="133"/>
      <c r="P106" s="141"/>
      <c r="Q106" s="134"/>
      <c r="R106" s="142">
        <f t="shared" si="78"/>
        <v>0</v>
      </c>
      <c r="S106" s="141"/>
      <c r="T106" s="133"/>
      <c r="U106" s="141"/>
      <c r="V106" s="133"/>
      <c r="W106" s="141"/>
      <c r="X106" s="134"/>
      <c r="Y106" s="142">
        <f t="shared" si="80"/>
        <v>0</v>
      </c>
    </row>
    <row r="107" spans="1:27">
      <c r="A107" s="163"/>
      <c r="B107" s="161"/>
      <c r="C107" s="141"/>
      <c r="D107" s="141"/>
      <c r="E107" s="141"/>
      <c r="F107" s="134"/>
      <c r="G107" s="142"/>
      <c r="H107" s="134"/>
      <c r="I107" s="142"/>
      <c r="J107" s="134"/>
      <c r="K107" s="142"/>
      <c r="L107" s="141"/>
      <c r="M107" s="133"/>
      <c r="N107" s="141"/>
      <c r="O107" s="133"/>
      <c r="P107" s="141"/>
      <c r="Q107" s="134"/>
      <c r="R107" s="142"/>
      <c r="S107" s="141"/>
      <c r="T107" s="133"/>
      <c r="U107" s="141"/>
      <c r="V107" s="133"/>
      <c r="W107" s="141"/>
      <c r="X107" s="134"/>
      <c r="Y107" s="142"/>
    </row>
    <row r="108" spans="1:27" s="92" customFormat="1" ht="26.4">
      <c r="A108" s="170" t="s">
        <v>115</v>
      </c>
      <c r="B108" s="54" t="s">
        <v>116</v>
      </c>
      <c r="C108" s="133">
        <f>SUM(C109:C111)</f>
        <v>4733979.03</v>
      </c>
      <c r="D108" s="133">
        <f t="shared" ref="D108" si="85">SUM(D109:D111)</f>
        <v>0</v>
      </c>
      <c r="E108" s="133">
        <f t="shared" ref="E108" si="86">SUM(E109:E111)</f>
        <v>4733979.03</v>
      </c>
      <c r="F108" s="133">
        <f t="shared" ref="F108:H108" si="87">SUM(F109:F111)</f>
        <v>137396000</v>
      </c>
      <c r="G108" s="133">
        <f t="shared" ref="G108:J108" si="88">SUM(G109:G111)</f>
        <v>142129979.03</v>
      </c>
      <c r="H108" s="134">
        <f t="shared" si="87"/>
        <v>0</v>
      </c>
      <c r="I108" s="134">
        <f t="shared" si="88"/>
        <v>142129979.03</v>
      </c>
      <c r="J108" s="134">
        <f t="shared" si="88"/>
        <v>446527.76</v>
      </c>
      <c r="K108" s="134">
        <f t="shared" ref="K108" si="89">SUM(K109:K111)</f>
        <v>142576506.78999999</v>
      </c>
      <c r="L108" s="133">
        <f t="shared" ref="L108:T108" si="90">SUM(L109:L111)</f>
        <v>0</v>
      </c>
      <c r="M108" s="133">
        <f t="shared" si="90"/>
        <v>137396000</v>
      </c>
      <c r="N108" s="133">
        <f t="shared" si="90"/>
        <v>137396000</v>
      </c>
      <c r="O108" s="133">
        <f t="shared" ref="O108:P108" si="91">SUM(O109:O111)</f>
        <v>0</v>
      </c>
      <c r="P108" s="133">
        <f t="shared" si="91"/>
        <v>137396000</v>
      </c>
      <c r="Q108" s="134">
        <f t="shared" ref="Q108:R108" si="92">SUM(Q109:Q111)</f>
        <v>0</v>
      </c>
      <c r="R108" s="134">
        <f t="shared" si="92"/>
        <v>137396000</v>
      </c>
      <c r="S108" s="133">
        <f t="shared" si="90"/>
        <v>0</v>
      </c>
      <c r="T108" s="133">
        <f t="shared" si="90"/>
        <v>137396000</v>
      </c>
      <c r="U108" s="133">
        <f>SUM(U109:U111)</f>
        <v>137396000</v>
      </c>
      <c r="V108" s="133">
        <f t="shared" ref="V108:X108" si="93">SUM(V109:V111)</f>
        <v>0</v>
      </c>
      <c r="W108" s="133">
        <f>SUM(W109:W111)</f>
        <v>137396000</v>
      </c>
      <c r="X108" s="134">
        <f t="shared" si="93"/>
        <v>0</v>
      </c>
      <c r="Y108" s="134">
        <f>SUM(Y109:Y111)</f>
        <v>137396000</v>
      </c>
      <c r="Z108" s="178"/>
      <c r="AA108" s="98"/>
    </row>
    <row r="109" spans="1:27" s="49" customFormat="1" ht="26.4">
      <c r="A109" s="171" t="s">
        <v>117</v>
      </c>
      <c r="B109" s="168" t="s">
        <v>118</v>
      </c>
      <c r="C109" s="141">
        <v>4733979.03</v>
      </c>
      <c r="D109" s="133">
        <v>0</v>
      </c>
      <c r="E109" s="141">
        <f>C109+D109</f>
        <v>4733979.03</v>
      </c>
      <c r="F109" s="133"/>
      <c r="G109" s="142">
        <v>4733979.03</v>
      </c>
      <c r="H109" s="134"/>
      <c r="I109" s="142">
        <f>G109+H109</f>
        <v>4733979.03</v>
      </c>
      <c r="J109" s="134">
        <v>446527.76</v>
      </c>
      <c r="K109" s="142">
        <f>I109+J109</f>
        <v>5180506.79</v>
      </c>
      <c r="L109" s="141"/>
      <c r="M109" s="133"/>
      <c r="N109" s="141">
        <f>L109+M109</f>
        <v>0</v>
      </c>
      <c r="O109" s="133"/>
      <c r="P109" s="141">
        <f>N109+O109</f>
        <v>0</v>
      </c>
      <c r="Q109" s="134"/>
      <c r="R109" s="142">
        <f>P109+Q109</f>
        <v>0</v>
      </c>
      <c r="S109" s="141"/>
      <c r="T109" s="133"/>
      <c r="U109" s="141">
        <f>S109+T109</f>
        <v>0</v>
      </c>
      <c r="V109" s="133"/>
      <c r="W109" s="141">
        <f>U109+V109</f>
        <v>0</v>
      </c>
      <c r="X109" s="134"/>
      <c r="Y109" s="142">
        <f>W109+X109</f>
        <v>0</v>
      </c>
      <c r="Z109" s="84"/>
      <c r="AA109" s="102"/>
    </row>
    <row r="110" spans="1:27" s="49" customFormat="1" ht="52.8">
      <c r="A110" s="171" t="s">
        <v>148</v>
      </c>
      <c r="B110" s="168" t="s">
        <v>118</v>
      </c>
      <c r="C110" s="141"/>
      <c r="D110" s="133"/>
      <c r="E110" s="141"/>
      <c r="F110" s="133">
        <v>137396000</v>
      </c>
      <c r="G110" s="141">
        <f>E110+F110</f>
        <v>137396000</v>
      </c>
      <c r="H110" s="134"/>
      <c r="I110" s="142">
        <f>G110+H110</f>
        <v>137396000</v>
      </c>
      <c r="J110" s="134"/>
      <c r="K110" s="142">
        <f>I110+J110</f>
        <v>137396000</v>
      </c>
      <c r="L110" s="141"/>
      <c r="M110" s="133">
        <v>137396000</v>
      </c>
      <c r="N110" s="141">
        <f>L110+M110</f>
        <v>137396000</v>
      </c>
      <c r="O110" s="133"/>
      <c r="P110" s="141">
        <f>N110+O110</f>
        <v>137396000</v>
      </c>
      <c r="Q110" s="134"/>
      <c r="R110" s="142">
        <f>P110+Q110</f>
        <v>137396000</v>
      </c>
      <c r="S110" s="141"/>
      <c r="T110" s="133">
        <v>137396000</v>
      </c>
      <c r="U110" s="141">
        <f>S110+T110</f>
        <v>137396000</v>
      </c>
      <c r="V110" s="133"/>
      <c r="W110" s="141">
        <f>U110+V110</f>
        <v>137396000</v>
      </c>
      <c r="X110" s="134"/>
      <c r="Y110" s="142">
        <f>W110+X110</f>
        <v>137396000</v>
      </c>
      <c r="Z110" s="84"/>
      <c r="AA110" s="102"/>
    </row>
    <row r="111" spans="1:27">
      <c r="A111" s="163"/>
      <c r="B111" s="161"/>
      <c r="C111" s="141"/>
      <c r="D111" s="141"/>
      <c r="E111" s="141"/>
      <c r="F111" s="134"/>
      <c r="G111" s="142"/>
      <c r="H111" s="134"/>
      <c r="I111" s="142"/>
      <c r="J111" s="134"/>
      <c r="K111" s="142"/>
      <c r="L111" s="141"/>
      <c r="M111" s="133"/>
      <c r="N111" s="141"/>
      <c r="O111" s="133"/>
      <c r="P111" s="141"/>
      <c r="Q111" s="134"/>
      <c r="R111" s="142"/>
      <c r="S111" s="141"/>
      <c r="T111" s="133"/>
      <c r="U111" s="141"/>
      <c r="V111" s="133"/>
      <c r="W111" s="141"/>
      <c r="X111" s="134"/>
      <c r="Y111" s="142"/>
    </row>
    <row r="112" spans="1:27">
      <c r="A112" s="53" t="s">
        <v>119</v>
      </c>
      <c r="B112" s="54"/>
      <c r="C112" s="133">
        <f t="shared" ref="C112:U112" si="94">C45+C5</f>
        <v>2248408464.6700001</v>
      </c>
      <c r="D112" s="172">
        <f t="shared" si="94"/>
        <v>13524558.560000001</v>
      </c>
      <c r="E112" s="133">
        <f t="shared" si="94"/>
        <v>2261933023.23</v>
      </c>
      <c r="F112" s="134">
        <f t="shared" si="94"/>
        <v>1195923556.5</v>
      </c>
      <c r="G112" s="134">
        <f t="shared" si="94"/>
        <v>3457856579.73</v>
      </c>
      <c r="H112" s="134">
        <f t="shared" ref="H112:I112" si="95">H45+H5</f>
        <v>29389969.340000004</v>
      </c>
      <c r="I112" s="134">
        <f t="shared" si="95"/>
        <v>3487246549.0700002</v>
      </c>
      <c r="J112" s="134">
        <f t="shared" ref="J112:K112" si="96">J45+J5</f>
        <v>44097769.749999993</v>
      </c>
      <c r="K112" s="134">
        <f t="shared" si="96"/>
        <v>3531344318.8199997</v>
      </c>
      <c r="L112" s="133">
        <f t="shared" si="94"/>
        <v>2283267767.0799999</v>
      </c>
      <c r="M112" s="172">
        <f t="shared" si="94"/>
        <v>142963151.66999999</v>
      </c>
      <c r="N112" s="133">
        <f t="shared" si="94"/>
        <v>2426230918.75</v>
      </c>
      <c r="O112" s="172">
        <f t="shared" ref="O112:P112" si="97">O45+O5</f>
        <v>37564.14</v>
      </c>
      <c r="P112" s="133">
        <f t="shared" si="97"/>
        <v>2426268482.8899999</v>
      </c>
      <c r="Q112" s="206">
        <f t="shared" ref="Q112:R112" si="98">Q45+Q5</f>
        <v>3379093.7600000002</v>
      </c>
      <c r="R112" s="134">
        <f t="shared" si="98"/>
        <v>2429647576.6500001</v>
      </c>
      <c r="S112" s="133">
        <f t="shared" si="94"/>
        <v>2345285634.5599999</v>
      </c>
      <c r="T112" s="172">
        <f t="shared" si="94"/>
        <v>220423882.55000001</v>
      </c>
      <c r="U112" s="133">
        <f t="shared" si="94"/>
        <v>2565709517.1099997</v>
      </c>
      <c r="V112" s="172">
        <f t="shared" ref="V112:W112" si="99">V45+V5</f>
        <v>37564.14</v>
      </c>
      <c r="W112" s="133">
        <f t="shared" si="99"/>
        <v>2565747081.25</v>
      </c>
      <c r="X112" s="206">
        <f t="shared" ref="X112:Y112" si="100">X45+X5</f>
        <v>4374522.75</v>
      </c>
      <c r="Y112" s="134">
        <f t="shared" si="100"/>
        <v>2570121604</v>
      </c>
    </row>
    <row r="113" spans="3:25">
      <c r="L113" s="56"/>
      <c r="M113" s="97"/>
      <c r="N113" s="56"/>
      <c r="O113" s="97"/>
      <c r="P113" s="56"/>
      <c r="Q113" s="105"/>
      <c r="R113" s="103"/>
      <c r="S113" s="56"/>
      <c r="T113" s="97"/>
      <c r="U113" s="56"/>
      <c r="V113" s="97"/>
      <c r="W113" s="56"/>
      <c r="X113" s="105"/>
      <c r="Y113" s="103"/>
    </row>
    <row r="114" spans="3:25">
      <c r="C114" s="56"/>
      <c r="D114" s="56"/>
      <c r="E114" s="56"/>
      <c r="F114" s="105"/>
      <c r="G114" s="103">
        <f>E112+F112-G112</f>
        <v>0</v>
      </c>
      <c r="H114" s="105"/>
      <c r="I114" s="103">
        <f>G112+H112-I112</f>
        <v>0</v>
      </c>
      <c r="J114" s="105"/>
      <c r="K114" s="103">
        <f>I112+J112-K112</f>
        <v>0</v>
      </c>
      <c r="L114" s="57"/>
      <c r="M114" s="101"/>
      <c r="N114" s="103">
        <f>L112+M112-N112</f>
        <v>0</v>
      </c>
      <c r="O114" s="101"/>
      <c r="P114" s="103">
        <f>N112+O112-P112</f>
        <v>0</v>
      </c>
      <c r="Q114" s="110"/>
      <c r="R114" s="103">
        <f>P112+Q112-R112</f>
        <v>0</v>
      </c>
      <c r="S114" s="57"/>
      <c r="T114" s="101"/>
      <c r="U114" s="103">
        <f>S112+T112-U112</f>
        <v>0</v>
      </c>
      <c r="V114" s="101"/>
      <c r="W114" s="103">
        <f>U112+V112-W112</f>
        <v>0</v>
      </c>
      <c r="X114" s="110"/>
      <c r="Y114" s="103">
        <f>W112+X112-Y112</f>
        <v>0</v>
      </c>
    </row>
    <row r="115" spans="3:25">
      <c r="C115" s="58"/>
      <c r="D115" s="58"/>
      <c r="E115" s="58"/>
      <c r="F115" s="106"/>
      <c r="G115" s="102"/>
      <c r="H115" s="106"/>
      <c r="I115" s="102"/>
      <c r="J115" s="106"/>
      <c r="K115" s="102"/>
      <c r="L115" s="58"/>
      <c r="M115" s="98"/>
      <c r="N115" s="58"/>
      <c r="O115" s="98"/>
      <c r="P115" s="58"/>
      <c r="Q115" s="106"/>
      <c r="R115" s="102"/>
      <c r="S115" s="58"/>
      <c r="T115" s="98"/>
      <c r="U115" s="58"/>
      <c r="V115" s="98"/>
      <c r="W115" s="58"/>
      <c r="X115" s="106"/>
      <c r="Y115" s="102"/>
    </row>
    <row r="116" spans="3:25">
      <c r="M116" s="98"/>
      <c r="O116" s="98"/>
      <c r="Q116" s="106"/>
    </row>
    <row r="117" spans="3:25">
      <c r="C117" s="58"/>
      <c r="D117" s="58"/>
      <c r="E117" s="58"/>
      <c r="F117" s="106"/>
      <c r="G117" s="102"/>
      <c r="H117" s="106"/>
      <c r="I117" s="102"/>
      <c r="J117" s="106"/>
      <c r="K117" s="102"/>
    </row>
  </sheetData>
  <mergeCells count="7">
    <mergeCell ref="A1:S1"/>
    <mergeCell ref="A2:A3"/>
    <mergeCell ref="B2:B3"/>
    <mergeCell ref="C3:K3"/>
    <mergeCell ref="L3:R3"/>
    <mergeCell ref="S3:Y3"/>
    <mergeCell ref="C2:Y2"/>
  </mergeCells>
  <pageMargins left="0.70866141732283472" right="0.19685039370078741" top="0.21" bottom="0.17" header="0.17" footer="0.17"/>
  <pageSetup paperSize="9"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1"/>
  <sheetViews>
    <sheetView workbookViewId="0">
      <pane xSplit="3" ySplit="19" topLeftCell="D125" activePane="bottomRight" state="frozen"/>
      <selection pane="topRight" activeCell="D1" sqref="D1"/>
      <selection pane="bottomLeft" activeCell="A6" sqref="A6"/>
      <selection pane="bottomRight" activeCell="C11" sqref="C11:Y11"/>
    </sheetView>
  </sheetViews>
  <sheetFormatPr defaultColWidth="9.109375" defaultRowHeight="13.2"/>
  <cols>
    <col min="1" max="1" width="46.33203125" style="1" customWidth="1"/>
    <col min="2" max="2" width="20.33203125" style="190" customWidth="1"/>
    <col min="3" max="5" width="15.5546875" style="49" hidden="1" customWidth="1"/>
    <col min="6" max="6" width="15.5546875" style="104" hidden="1" customWidth="1"/>
    <col min="7" max="7" width="15.5546875" style="49" hidden="1" customWidth="1"/>
    <col min="8" max="8" width="15.5546875" style="104" hidden="1" customWidth="1"/>
    <col min="9" max="9" width="15.5546875" style="49" hidden="1" customWidth="1"/>
    <col min="10" max="10" width="15.5546875" style="104" hidden="1" customWidth="1"/>
    <col min="11" max="11" width="15.5546875" style="49" customWidth="1"/>
    <col min="12" max="12" width="14.5546875" style="49" hidden="1" customWidth="1"/>
    <col min="13" max="13" width="14.5546875" style="104" hidden="1" customWidth="1"/>
    <col min="14" max="14" width="15.5546875" style="49" hidden="1" customWidth="1"/>
    <col min="15" max="15" width="14.5546875" style="104" hidden="1" customWidth="1"/>
    <col min="16" max="16" width="15.5546875" style="49" hidden="1" customWidth="1"/>
    <col min="17" max="17" width="14.5546875" style="104" hidden="1" customWidth="1"/>
    <col min="18" max="18" width="15.5546875" style="49" customWidth="1"/>
    <col min="19" max="19" width="15.33203125" style="49" hidden="1" customWidth="1"/>
    <col min="20" max="20" width="15.33203125" style="104" hidden="1" customWidth="1"/>
    <col min="21" max="21" width="15.33203125" style="49" hidden="1" customWidth="1"/>
    <col min="22" max="22" width="15.33203125" style="104" hidden="1" customWidth="1"/>
    <col min="23" max="23" width="15.33203125" style="49" hidden="1" customWidth="1"/>
    <col min="24" max="24" width="15.33203125" style="104" hidden="1" customWidth="1"/>
    <col min="25" max="25" width="15.33203125" style="49" customWidth="1"/>
    <col min="26" max="26" width="11.88671875" style="84" customWidth="1"/>
    <col min="27" max="27" width="9.109375" style="58"/>
    <col min="28" max="16384" width="9.109375" style="1"/>
  </cols>
  <sheetData>
    <row r="1" spans="1:27" ht="18" customHeight="1">
      <c r="L1" s="252" t="s">
        <v>0</v>
      </c>
      <c r="M1" s="252"/>
      <c r="N1" s="252"/>
      <c r="O1" s="252"/>
      <c r="P1" s="252"/>
      <c r="Q1" s="252"/>
      <c r="R1" s="252"/>
      <c r="S1" s="252"/>
      <c r="T1" s="253"/>
      <c r="U1" s="253"/>
      <c r="V1" s="253"/>
      <c r="W1" s="253"/>
      <c r="X1" s="253"/>
      <c r="Y1" s="253"/>
      <c r="Z1" s="77"/>
      <c r="AA1" s="1"/>
    </row>
    <row r="2" spans="1:27" ht="27.6" customHeight="1">
      <c r="C2" s="254" t="s">
        <v>172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5"/>
      <c r="U2" s="255"/>
      <c r="V2" s="255"/>
      <c r="W2" s="255"/>
      <c r="X2" s="255"/>
      <c r="Y2" s="255"/>
      <c r="Z2" s="77"/>
      <c r="AA2" s="1"/>
    </row>
    <row r="3" spans="1:27" ht="9.6" customHeight="1">
      <c r="C3" s="108"/>
      <c r="D3" s="108"/>
      <c r="E3" s="108"/>
      <c r="F3" s="108"/>
      <c r="G3" s="108"/>
      <c r="H3" s="108"/>
      <c r="I3" s="108"/>
      <c r="J3" s="216"/>
      <c r="K3" s="216"/>
      <c r="L3" s="108"/>
      <c r="M3" s="108"/>
      <c r="N3" s="108"/>
      <c r="O3" s="108"/>
      <c r="P3" s="108"/>
      <c r="Q3" s="108"/>
      <c r="R3" s="108"/>
      <c r="S3" s="108"/>
      <c r="T3" s="191"/>
      <c r="U3" s="191"/>
      <c r="V3" s="191"/>
      <c r="W3" s="191"/>
      <c r="X3" s="191"/>
      <c r="Y3" s="191"/>
      <c r="Z3" s="77"/>
      <c r="AA3" s="1"/>
    </row>
    <row r="4" spans="1:27" ht="19.2" customHeight="1">
      <c r="L4" s="252" t="s">
        <v>0</v>
      </c>
      <c r="M4" s="252"/>
      <c r="N4" s="252"/>
      <c r="O4" s="252"/>
      <c r="P4" s="252"/>
      <c r="Q4" s="252"/>
      <c r="R4" s="252"/>
      <c r="S4" s="252"/>
      <c r="T4" s="253"/>
      <c r="U4" s="253"/>
      <c r="V4" s="253"/>
      <c r="W4" s="253"/>
      <c r="X4" s="253"/>
      <c r="Y4" s="253"/>
      <c r="Z4" s="77"/>
      <c r="AA4" s="1"/>
    </row>
    <row r="5" spans="1:27" ht="24.6" customHeight="1">
      <c r="C5" s="254" t="s">
        <v>151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U5" s="255"/>
      <c r="V5" s="255"/>
      <c r="W5" s="255"/>
      <c r="X5" s="255"/>
      <c r="Y5" s="255"/>
      <c r="Z5" s="77"/>
      <c r="AA5" s="1"/>
    </row>
    <row r="6" spans="1:27" ht="9.6" customHeight="1">
      <c r="C6" s="108"/>
      <c r="D6" s="108"/>
      <c r="E6" s="108"/>
      <c r="F6" s="108"/>
      <c r="G6" s="108"/>
      <c r="H6" s="108"/>
      <c r="I6" s="108"/>
      <c r="J6" s="216"/>
      <c r="K6" s="216"/>
      <c r="L6" s="108"/>
      <c r="M6" s="108"/>
      <c r="N6" s="108"/>
      <c r="O6" s="108"/>
      <c r="P6" s="108"/>
      <c r="Q6" s="108"/>
      <c r="R6" s="108"/>
      <c r="S6" s="108"/>
      <c r="T6" s="191"/>
      <c r="U6" s="191"/>
      <c r="V6" s="191"/>
      <c r="W6" s="191"/>
      <c r="X6" s="191"/>
      <c r="Y6" s="191"/>
      <c r="Z6" s="77"/>
      <c r="AA6" s="1"/>
    </row>
    <row r="7" spans="1:27" ht="18" customHeight="1">
      <c r="L7" s="252" t="s">
        <v>0</v>
      </c>
      <c r="M7" s="252"/>
      <c r="N7" s="252"/>
      <c r="O7" s="252"/>
      <c r="P7" s="252"/>
      <c r="Q7" s="252"/>
      <c r="R7" s="252"/>
      <c r="S7" s="252"/>
      <c r="T7" s="253"/>
      <c r="U7" s="253"/>
      <c r="V7" s="253"/>
      <c r="W7" s="253"/>
      <c r="X7" s="253"/>
      <c r="Y7" s="253"/>
      <c r="Z7" s="77"/>
      <c r="AA7" s="1"/>
    </row>
    <row r="8" spans="1:27" ht="28.2" customHeight="1">
      <c r="C8" s="254" t="s">
        <v>131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255"/>
      <c r="V8" s="255"/>
      <c r="W8" s="255"/>
      <c r="X8" s="255"/>
      <c r="Y8" s="255"/>
      <c r="Z8" s="77"/>
      <c r="AA8" s="1"/>
    </row>
    <row r="9" spans="1:27" ht="9.6" customHeight="1">
      <c r="C9" s="108"/>
      <c r="D9" s="108"/>
      <c r="E9" s="108"/>
      <c r="F9" s="109"/>
      <c r="G9" s="108"/>
      <c r="H9" s="109"/>
      <c r="I9" s="108"/>
      <c r="J9" s="109"/>
      <c r="K9" s="216"/>
      <c r="L9" s="108"/>
      <c r="M9" s="109"/>
      <c r="N9" s="108"/>
      <c r="O9" s="109"/>
      <c r="P9" s="108"/>
      <c r="Q9" s="109"/>
      <c r="R9" s="108"/>
      <c r="S9" s="108"/>
      <c r="T9" s="109"/>
      <c r="U9" s="108"/>
      <c r="V9" s="109"/>
      <c r="W9" s="108"/>
      <c r="X9" s="109"/>
      <c r="Y9" s="108"/>
      <c r="Z9" s="77"/>
      <c r="AA9" s="1"/>
    </row>
    <row r="10" spans="1:27" ht="18" customHeight="1">
      <c r="L10" s="252" t="s">
        <v>0</v>
      </c>
      <c r="M10" s="252"/>
      <c r="N10" s="252"/>
      <c r="O10" s="252"/>
      <c r="P10" s="252"/>
      <c r="Q10" s="252"/>
      <c r="R10" s="252"/>
      <c r="S10" s="252"/>
      <c r="T10" s="253"/>
      <c r="U10" s="253"/>
      <c r="V10" s="253"/>
      <c r="W10" s="253"/>
      <c r="X10" s="253"/>
      <c r="Y10" s="253"/>
      <c r="Z10" s="77"/>
      <c r="AA10" s="1"/>
    </row>
    <row r="11" spans="1:27" ht="22.8" customHeight="1">
      <c r="C11" s="254" t="s">
        <v>125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5"/>
      <c r="U11" s="255"/>
      <c r="V11" s="255"/>
      <c r="W11" s="255"/>
      <c r="X11" s="255"/>
      <c r="Y11" s="255"/>
      <c r="Z11" s="77"/>
      <c r="AA11" s="1"/>
    </row>
    <row r="12" spans="1:27" ht="11.4" customHeight="1">
      <c r="C12" s="108"/>
      <c r="D12" s="108"/>
      <c r="E12" s="108"/>
      <c r="F12" s="109"/>
      <c r="G12" s="108"/>
      <c r="H12" s="109"/>
      <c r="I12" s="108"/>
      <c r="J12" s="109"/>
      <c r="K12" s="216"/>
      <c r="L12" s="108"/>
      <c r="M12" s="109"/>
      <c r="N12" s="108"/>
      <c r="O12" s="109"/>
      <c r="P12" s="108"/>
      <c r="Q12" s="109"/>
      <c r="R12" s="108"/>
      <c r="S12" s="108"/>
      <c r="T12" s="109"/>
      <c r="U12" s="108"/>
      <c r="V12" s="109"/>
      <c r="W12" s="108"/>
      <c r="X12" s="109"/>
      <c r="Y12" s="108"/>
      <c r="Z12" s="77"/>
      <c r="AA12" s="1"/>
    </row>
    <row r="13" spans="1:27" ht="16.2" customHeight="1">
      <c r="L13" s="252" t="s">
        <v>0</v>
      </c>
      <c r="M13" s="252"/>
      <c r="N13" s="252"/>
      <c r="O13" s="252"/>
      <c r="P13" s="252"/>
      <c r="Q13" s="252"/>
      <c r="R13" s="252"/>
      <c r="S13" s="252"/>
      <c r="T13" s="253"/>
      <c r="U13" s="253"/>
      <c r="V13" s="253"/>
      <c r="W13" s="253"/>
      <c r="X13" s="253"/>
      <c r="Y13" s="253"/>
      <c r="Z13" s="77"/>
      <c r="AA13" s="1"/>
    </row>
    <row r="14" spans="1:27" ht="25.2" customHeight="1">
      <c r="C14" s="254" t="s">
        <v>128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5"/>
      <c r="U14" s="255"/>
      <c r="V14" s="255"/>
      <c r="W14" s="255"/>
      <c r="X14" s="255"/>
      <c r="Y14" s="255"/>
      <c r="Z14" s="77"/>
      <c r="AA14" s="1"/>
    </row>
    <row r="15" spans="1:27" ht="36.6" customHeight="1">
      <c r="A15" s="234" t="s">
        <v>2</v>
      </c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192"/>
      <c r="U15" s="193"/>
      <c r="V15" s="192"/>
      <c r="W15" s="193"/>
      <c r="X15" s="192"/>
      <c r="Y15" s="193"/>
    </row>
    <row r="16" spans="1:27" ht="21.75" customHeight="1">
      <c r="A16" s="236" t="s">
        <v>3</v>
      </c>
      <c r="B16" s="248" t="s">
        <v>4</v>
      </c>
      <c r="C16" s="248" t="s">
        <v>5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56"/>
      <c r="U16" s="256"/>
      <c r="V16" s="256"/>
      <c r="W16" s="256"/>
      <c r="X16" s="256"/>
      <c r="Y16" s="256"/>
    </row>
    <row r="17" spans="1:27" ht="23.4" customHeight="1">
      <c r="A17" s="236"/>
      <c r="B17" s="248"/>
      <c r="C17" s="249" t="s">
        <v>6</v>
      </c>
      <c r="D17" s="250"/>
      <c r="E17" s="250"/>
      <c r="F17" s="250"/>
      <c r="G17" s="250"/>
      <c r="H17" s="250"/>
      <c r="I17" s="250"/>
      <c r="J17" s="250"/>
      <c r="K17" s="251"/>
      <c r="L17" s="249" t="s">
        <v>7</v>
      </c>
      <c r="M17" s="250"/>
      <c r="N17" s="250"/>
      <c r="O17" s="250"/>
      <c r="P17" s="250"/>
      <c r="Q17" s="250"/>
      <c r="R17" s="251"/>
      <c r="S17" s="249" t="s">
        <v>8</v>
      </c>
      <c r="T17" s="250"/>
      <c r="U17" s="250"/>
      <c r="V17" s="250"/>
      <c r="W17" s="250"/>
      <c r="X17" s="250"/>
      <c r="Y17" s="251"/>
    </row>
    <row r="18" spans="1:27" s="13" customFormat="1" ht="15" customHeight="1">
      <c r="A18" s="129">
        <v>1</v>
      </c>
      <c r="B18" s="131">
        <v>2</v>
      </c>
      <c r="C18" s="131">
        <v>3</v>
      </c>
      <c r="D18" s="131" t="s">
        <v>129</v>
      </c>
      <c r="E18" s="131">
        <v>3</v>
      </c>
      <c r="F18" s="131" t="s">
        <v>130</v>
      </c>
      <c r="G18" s="131">
        <v>3</v>
      </c>
      <c r="H18" s="131" t="s">
        <v>150</v>
      </c>
      <c r="I18" s="131">
        <v>3</v>
      </c>
      <c r="J18" s="131" t="s">
        <v>164</v>
      </c>
      <c r="K18" s="131">
        <v>3</v>
      </c>
      <c r="L18" s="131">
        <v>4</v>
      </c>
      <c r="M18" s="131" t="s">
        <v>130</v>
      </c>
      <c r="N18" s="131">
        <v>4</v>
      </c>
      <c r="O18" s="194" t="s">
        <v>149</v>
      </c>
      <c r="P18" s="131">
        <v>4</v>
      </c>
      <c r="Q18" s="194" t="s">
        <v>164</v>
      </c>
      <c r="R18" s="131">
        <v>4</v>
      </c>
      <c r="S18" s="131">
        <v>5</v>
      </c>
      <c r="T18" s="131" t="s">
        <v>130</v>
      </c>
      <c r="U18" s="131">
        <v>5</v>
      </c>
      <c r="V18" s="194" t="s">
        <v>149</v>
      </c>
      <c r="W18" s="131">
        <v>5</v>
      </c>
      <c r="X18" s="194" t="s">
        <v>165</v>
      </c>
      <c r="Y18" s="131">
        <v>5</v>
      </c>
      <c r="Z18" s="173"/>
      <c r="AA18" s="174"/>
    </row>
    <row r="19" spans="1:27" s="17" customFormat="1">
      <c r="A19" s="53" t="s">
        <v>9</v>
      </c>
      <c r="B19" s="132" t="s">
        <v>10</v>
      </c>
      <c r="C19" s="134">
        <f t="shared" ref="C19:S19" si="0">C21+C24+C27+C32+C37+C42+C46+C48+C51+C55+C57</f>
        <v>416587440</v>
      </c>
      <c r="D19" s="134">
        <f t="shared" si="0"/>
        <v>13524558.560000001</v>
      </c>
      <c r="E19" s="134">
        <f t="shared" si="0"/>
        <v>430111998.56</v>
      </c>
      <c r="F19" s="134">
        <f t="shared" si="0"/>
        <v>23653900.850000001</v>
      </c>
      <c r="G19" s="134">
        <f t="shared" si="0"/>
        <v>453765899.41000003</v>
      </c>
      <c r="H19" s="134">
        <f t="shared" ref="H19:I19" si="1">H21+H24+H27+H32+H37+H42+H46+H48+H51+H55+H57</f>
        <v>0</v>
      </c>
      <c r="I19" s="134">
        <f t="shared" si="1"/>
        <v>453765899.41000003</v>
      </c>
      <c r="J19" s="134">
        <f t="shared" ref="J19:K19" si="2">J21+J24+J27+J32+J37+J42+J46+J48+J51+J55+J57</f>
        <v>9000000</v>
      </c>
      <c r="K19" s="134">
        <f t="shared" si="2"/>
        <v>462765899.41000003</v>
      </c>
      <c r="L19" s="134">
        <f t="shared" si="0"/>
        <v>428404557</v>
      </c>
      <c r="M19" s="134"/>
      <c r="N19" s="134">
        <f t="shared" ref="N19:P19" si="3">N21+N24+N27+N32+N37+N42+N46+N48+N51+N55+N57</f>
        <v>428404557</v>
      </c>
      <c r="O19" s="134"/>
      <c r="P19" s="134">
        <f t="shared" si="3"/>
        <v>428404557</v>
      </c>
      <c r="Q19" s="134"/>
      <c r="R19" s="134">
        <f t="shared" ref="R19" si="4">R21+R24+R27+R32+R37+R42+R46+R48+R51+R55+R57</f>
        <v>428404557</v>
      </c>
      <c r="S19" s="134">
        <f t="shared" si="0"/>
        <v>438630740</v>
      </c>
      <c r="T19" s="134"/>
      <c r="U19" s="134">
        <f t="shared" ref="U19:W19" si="5">U21+U24+U27+U32+U37+U42+U46+U48+U51+U55+U57</f>
        <v>438630740</v>
      </c>
      <c r="V19" s="134"/>
      <c r="W19" s="134">
        <f t="shared" si="5"/>
        <v>438630740</v>
      </c>
      <c r="X19" s="134"/>
      <c r="Y19" s="134">
        <f t="shared" ref="Y19" si="6">Y21+Y24+Y27+Y32+Y37+Y42+Y46+Y48+Y51+Y55+Y57</f>
        <v>438630740</v>
      </c>
      <c r="Z19" s="84"/>
      <c r="AA19" s="84"/>
    </row>
    <row r="20" spans="1:27" s="17" customFormat="1">
      <c r="A20" s="53"/>
      <c r="B20" s="195"/>
      <c r="C20" s="138"/>
      <c r="D20" s="138"/>
      <c r="E20" s="138"/>
      <c r="F20" s="137"/>
      <c r="G20" s="138"/>
      <c r="H20" s="137"/>
      <c r="I20" s="138"/>
      <c r="J20" s="137"/>
      <c r="K20" s="138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84"/>
      <c r="AA20" s="84"/>
    </row>
    <row r="21" spans="1:27" s="17" customFormat="1">
      <c r="A21" s="140" t="s">
        <v>11</v>
      </c>
      <c r="B21" s="195" t="s">
        <v>12</v>
      </c>
      <c r="C21" s="142">
        <f>C22</f>
        <v>285638123</v>
      </c>
      <c r="D21" s="142">
        <f t="shared" ref="D21:K21" si="7">D22</f>
        <v>13524558.560000001</v>
      </c>
      <c r="E21" s="142">
        <f t="shared" si="7"/>
        <v>299162681.56</v>
      </c>
      <c r="F21" s="134">
        <f t="shared" si="7"/>
        <v>23653900.850000001</v>
      </c>
      <c r="G21" s="142">
        <f t="shared" si="7"/>
        <v>322816582.41000003</v>
      </c>
      <c r="H21" s="134">
        <f t="shared" si="7"/>
        <v>0</v>
      </c>
      <c r="I21" s="142">
        <f t="shared" si="7"/>
        <v>322816582.41000003</v>
      </c>
      <c r="J21" s="134">
        <f t="shared" si="7"/>
        <v>9000000</v>
      </c>
      <c r="K21" s="142">
        <f t="shared" si="7"/>
        <v>331816582.41000003</v>
      </c>
      <c r="L21" s="142">
        <f>L22</f>
        <v>298387792</v>
      </c>
      <c r="M21" s="134"/>
      <c r="N21" s="142">
        <f>N22</f>
        <v>298387792</v>
      </c>
      <c r="O21" s="134"/>
      <c r="P21" s="142">
        <f>P22</f>
        <v>298387792</v>
      </c>
      <c r="Q21" s="134"/>
      <c r="R21" s="142">
        <f>R22</f>
        <v>298387792</v>
      </c>
      <c r="S21" s="142">
        <f>S22</f>
        <v>306680483</v>
      </c>
      <c r="T21" s="134"/>
      <c r="U21" s="142">
        <f>U22</f>
        <v>306680483</v>
      </c>
      <c r="V21" s="134"/>
      <c r="W21" s="142">
        <f>W22</f>
        <v>306680483</v>
      </c>
      <c r="X21" s="134"/>
      <c r="Y21" s="142">
        <f>Y22</f>
        <v>306680483</v>
      </c>
      <c r="Z21" s="84"/>
      <c r="AA21" s="84"/>
    </row>
    <row r="22" spans="1:27" s="17" customFormat="1">
      <c r="A22" s="143" t="s">
        <v>13</v>
      </c>
      <c r="B22" s="195" t="s">
        <v>14</v>
      </c>
      <c r="C22" s="142">
        <v>285638123</v>
      </c>
      <c r="D22" s="142">
        <v>13524558.560000001</v>
      </c>
      <c r="E22" s="142">
        <f>285638123+D22</f>
        <v>299162681.56</v>
      </c>
      <c r="F22" s="134">
        <v>23653900.850000001</v>
      </c>
      <c r="G22" s="142">
        <f>E22+F22</f>
        <v>322816582.41000003</v>
      </c>
      <c r="H22" s="134"/>
      <c r="I22" s="142">
        <f>G22+H22</f>
        <v>322816582.41000003</v>
      </c>
      <c r="J22" s="134">
        <v>9000000</v>
      </c>
      <c r="K22" s="142">
        <f>I22+J22</f>
        <v>331816582.41000003</v>
      </c>
      <c r="L22" s="142">
        <v>298387792</v>
      </c>
      <c r="M22" s="134"/>
      <c r="N22" s="142">
        <v>298387792</v>
      </c>
      <c r="O22" s="134"/>
      <c r="P22" s="142">
        <v>298387792</v>
      </c>
      <c r="Q22" s="134"/>
      <c r="R22" s="142">
        <v>298387792</v>
      </c>
      <c r="S22" s="142">
        <v>306680483</v>
      </c>
      <c r="T22" s="134"/>
      <c r="U22" s="142">
        <v>306680483</v>
      </c>
      <c r="V22" s="134"/>
      <c r="W22" s="142">
        <v>306680483</v>
      </c>
      <c r="X22" s="134"/>
      <c r="Y22" s="142">
        <v>306680483</v>
      </c>
      <c r="Z22" s="84"/>
      <c r="AA22" s="84"/>
    </row>
    <row r="23" spans="1:27" s="17" customFormat="1">
      <c r="A23" s="143"/>
      <c r="B23" s="195"/>
      <c r="C23" s="145"/>
      <c r="D23" s="145"/>
      <c r="E23" s="145"/>
      <c r="F23" s="145"/>
      <c r="G23" s="145"/>
      <c r="H23" s="145"/>
      <c r="I23" s="145"/>
      <c r="J23" s="145"/>
      <c r="K23" s="145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84"/>
      <c r="AA23" s="84"/>
    </row>
    <row r="24" spans="1:27" s="17" customFormat="1" ht="39.6">
      <c r="A24" s="147" t="s">
        <v>15</v>
      </c>
      <c r="B24" s="195" t="s">
        <v>16</v>
      </c>
      <c r="C24" s="142">
        <f>C25</f>
        <v>41304236</v>
      </c>
      <c r="D24" s="142"/>
      <c r="E24" s="142">
        <f>E25</f>
        <v>41304236</v>
      </c>
      <c r="F24" s="134"/>
      <c r="G24" s="142">
        <f>G25</f>
        <v>41304236</v>
      </c>
      <c r="H24" s="134"/>
      <c r="I24" s="142">
        <f>I25</f>
        <v>41304236</v>
      </c>
      <c r="J24" s="134"/>
      <c r="K24" s="142">
        <f>K25</f>
        <v>41304236</v>
      </c>
      <c r="L24" s="142">
        <f>L25</f>
        <v>42231315</v>
      </c>
      <c r="M24" s="134"/>
      <c r="N24" s="142">
        <f>N25</f>
        <v>42231315</v>
      </c>
      <c r="O24" s="134"/>
      <c r="P24" s="142">
        <f>P25</f>
        <v>42231315</v>
      </c>
      <c r="Q24" s="134"/>
      <c r="R24" s="142">
        <f>R25</f>
        <v>42231315</v>
      </c>
      <c r="S24" s="142">
        <f>S25</f>
        <v>43293645</v>
      </c>
      <c r="T24" s="134"/>
      <c r="U24" s="142">
        <f>U25</f>
        <v>43293645</v>
      </c>
      <c r="V24" s="134"/>
      <c r="W24" s="142">
        <f>W25</f>
        <v>43293645</v>
      </c>
      <c r="X24" s="134"/>
      <c r="Y24" s="142">
        <f>Y25</f>
        <v>43293645</v>
      </c>
      <c r="Z24" s="84"/>
      <c r="AA24" s="84"/>
    </row>
    <row r="25" spans="1:27" s="17" customFormat="1" ht="26.4">
      <c r="A25" s="143" t="s">
        <v>17</v>
      </c>
      <c r="B25" s="195" t="s">
        <v>18</v>
      </c>
      <c r="C25" s="142">
        <v>41304236</v>
      </c>
      <c r="D25" s="142"/>
      <c r="E25" s="142">
        <v>41304236</v>
      </c>
      <c r="F25" s="134"/>
      <c r="G25" s="142">
        <v>41304236</v>
      </c>
      <c r="H25" s="134"/>
      <c r="I25" s="142">
        <v>41304236</v>
      </c>
      <c r="J25" s="134"/>
      <c r="K25" s="142">
        <v>41304236</v>
      </c>
      <c r="L25" s="142">
        <v>42231315</v>
      </c>
      <c r="M25" s="134"/>
      <c r="N25" s="142">
        <v>42231315</v>
      </c>
      <c r="O25" s="134"/>
      <c r="P25" s="142">
        <v>42231315</v>
      </c>
      <c r="Q25" s="134"/>
      <c r="R25" s="142">
        <v>42231315</v>
      </c>
      <c r="S25" s="142">
        <v>43293645</v>
      </c>
      <c r="T25" s="134"/>
      <c r="U25" s="142">
        <v>43293645</v>
      </c>
      <c r="V25" s="134"/>
      <c r="W25" s="142">
        <v>43293645</v>
      </c>
      <c r="X25" s="134"/>
      <c r="Y25" s="142">
        <v>43293645</v>
      </c>
      <c r="Z25" s="84"/>
      <c r="AA25" s="84"/>
    </row>
    <row r="26" spans="1:27" s="17" customFormat="1">
      <c r="A26" s="143"/>
      <c r="B26" s="195"/>
      <c r="C26" s="145"/>
      <c r="D26" s="145"/>
      <c r="E26" s="145"/>
      <c r="F26" s="145"/>
      <c r="G26" s="145"/>
      <c r="H26" s="145"/>
      <c r="I26" s="145"/>
      <c r="J26" s="145"/>
      <c r="K26" s="145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84"/>
      <c r="AA26" s="84"/>
    </row>
    <row r="27" spans="1:27" s="17" customFormat="1">
      <c r="A27" s="147" t="s">
        <v>19</v>
      </c>
      <c r="B27" s="195" t="s">
        <v>20</v>
      </c>
      <c r="C27" s="142">
        <f>C28+C29+C30</f>
        <v>20101000</v>
      </c>
      <c r="D27" s="142"/>
      <c r="E27" s="142">
        <f>E28+E29+E30</f>
        <v>20101000</v>
      </c>
      <c r="F27" s="134"/>
      <c r="G27" s="142">
        <f>G28+G29+G30</f>
        <v>20101000</v>
      </c>
      <c r="H27" s="134"/>
      <c r="I27" s="142">
        <f>I28+I29+I30</f>
        <v>20101000</v>
      </c>
      <c r="J27" s="134"/>
      <c r="K27" s="142">
        <f>K28+K29+K30</f>
        <v>20101000</v>
      </c>
      <c r="L27" s="142">
        <f>L28+L29+L30</f>
        <v>20822626</v>
      </c>
      <c r="M27" s="134"/>
      <c r="N27" s="142">
        <f>N28+N29+N30</f>
        <v>20822626</v>
      </c>
      <c r="O27" s="134"/>
      <c r="P27" s="142">
        <f>P28+P29+P30</f>
        <v>20822626</v>
      </c>
      <c r="Q27" s="134"/>
      <c r="R27" s="142">
        <f>R28+R29+R30</f>
        <v>20822626</v>
      </c>
      <c r="S27" s="142">
        <f>S28+S29+S30</f>
        <v>21668025</v>
      </c>
      <c r="T27" s="134"/>
      <c r="U27" s="142">
        <f>U28+U29+U30</f>
        <v>21668025</v>
      </c>
      <c r="V27" s="134"/>
      <c r="W27" s="142">
        <f>W28+W29+W30</f>
        <v>21668025</v>
      </c>
      <c r="X27" s="134"/>
      <c r="Y27" s="142">
        <f>Y28+Y29+Y30</f>
        <v>21668025</v>
      </c>
      <c r="Z27" s="84"/>
      <c r="AA27" s="84"/>
    </row>
    <row r="28" spans="1:27" s="17" customFormat="1" ht="26.4">
      <c r="A28" s="143" t="s">
        <v>21</v>
      </c>
      <c r="B28" s="195" t="s">
        <v>22</v>
      </c>
      <c r="C28" s="142">
        <v>16968000</v>
      </c>
      <c r="D28" s="142"/>
      <c r="E28" s="142">
        <v>16968000</v>
      </c>
      <c r="F28" s="134"/>
      <c r="G28" s="142">
        <v>16968000</v>
      </c>
      <c r="H28" s="134"/>
      <c r="I28" s="142">
        <v>16968000</v>
      </c>
      <c r="J28" s="134"/>
      <c r="K28" s="142">
        <v>16968000</v>
      </c>
      <c r="L28" s="142">
        <v>17577151</v>
      </c>
      <c r="M28" s="134"/>
      <c r="N28" s="142">
        <v>17577151</v>
      </c>
      <c r="O28" s="134"/>
      <c r="P28" s="142">
        <v>17577151</v>
      </c>
      <c r="Q28" s="134"/>
      <c r="R28" s="142">
        <v>17577151</v>
      </c>
      <c r="S28" s="142">
        <v>18290783</v>
      </c>
      <c r="T28" s="134"/>
      <c r="U28" s="142">
        <v>18290783</v>
      </c>
      <c r="V28" s="134"/>
      <c r="W28" s="142">
        <v>18290783</v>
      </c>
      <c r="X28" s="134"/>
      <c r="Y28" s="142">
        <v>18290783</v>
      </c>
      <c r="Z28" s="84"/>
      <c r="AA28" s="84"/>
    </row>
    <row r="29" spans="1:27" s="17" customFormat="1">
      <c r="A29" s="143" t="s">
        <v>23</v>
      </c>
      <c r="B29" s="195" t="s">
        <v>24</v>
      </c>
      <c r="C29" s="142">
        <v>9000</v>
      </c>
      <c r="D29" s="142"/>
      <c r="E29" s="142">
        <v>9000</v>
      </c>
      <c r="F29" s="134"/>
      <c r="G29" s="142">
        <v>9000</v>
      </c>
      <c r="H29" s="134"/>
      <c r="I29" s="142">
        <v>9000</v>
      </c>
      <c r="J29" s="134"/>
      <c r="K29" s="142">
        <v>9000</v>
      </c>
      <c r="L29" s="142">
        <v>9323</v>
      </c>
      <c r="M29" s="134"/>
      <c r="N29" s="142">
        <v>9323</v>
      </c>
      <c r="O29" s="134"/>
      <c r="P29" s="142">
        <v>9323</v>
      </c>
      <c r="Q29" s="134"/>
      <c r="R29" s="142">
        <v>9323</v>
      </c>
      <c r="S29" s="142">
        <v>9702</v>
      </c>
      <c r="T29" s="134"/>
      <c r="U29" s="142">
        <v>9702</v>
      </c>
      <c r="V29" s="134"/>
      <c r="W29" s="142">
        <v>9702</v>
      </c>
      <c r="X29" s="134"/>
      <c r="Y29" s="142">
        <v>9702</v>
      </c>
      <c r="Z29" s="84"/>
      <c r="AA29" s="84"/>
    </row>
    <row r="30" spans="1:27" s="17" customFormat="1" ht="26.4">
      <c r="A30" s="143" t="s">
        <v>25</v>
      </c>
      <c r="B30" s="195" t="s">
        <v>26</v>
      </c>
      <c r="C30" s="142">
        <v>3124000</v>
      </c>
      <c r="D30" s="142"/>
      <c r="E30" s="142">
        <v>3124000</v>
      </c>
      <c r="F30" s="134"/>
      <c r="G30" s="142">
        <v>3124000</v>
      </c>
      <c r="H30" s="134"/>
      <c r="I30" s="142">
        <v>3124000</v>
      </c>
      <c r="J30" s="134"/>
      <c r="K30" s="142">
        <v>3124000</v>
      </c>
      <c r="L30" s="142">
        <v>3236152</v>
      </c>
      <c r="M30" s="134"/>
      <c r="N30" s="142">
        <v>3236152</v>
      </c>
      <c r="O30" s="134"/>
      <c r="P30" s="142">
        <v>3236152</v>
      </c>
      <c r="Q30" s="134"/>
      <c r="R30" s="142">
        <v>3236152</v>
      </c>
      <c r="S30" s="142">
        <v>3367540</v>
      </c>
      <c r="T30" s="134"/>
      <c r="U30" s="142">
        <v>3367540</v>
      </c>
      <c r="V30" s="134"/>
      <c r="W30" s="142">
        <v>3367540</v>
      </c>
      <c r="X30" s="134"/>
      <c r="Y30" s="142">
        <v>3367540</v>
      </c>
      <c r="Z30" s="84"/>
      <c r="AA30" s="84"/>
    </row>
    <row r="31" spans="1:27" s="17" customFormat="1">
      <c r="A31" s="143"/>
      <c r="B31" s="195"/>
      <c r="C31" s="142"/>
      <c r="D31" s="142"/>
      <c r="E31" s="142"/>
      <c r="F31" s="134"/>
      <c r="G31" s="142"/>
      <c r="H31" s="134"/>
      <c r="I31" s="142"/>
      <c r="J31" s="134"/>
      <c r="K31" s="142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84"/>
      <c r="AA31" s="84"/>
    </row>
    <row r="32" spans="1:27" s="17" customFormat="1">
      <c r="A32" s="147" t="s">
        <v>27</v>
      </c>
      <c r="B32" s="195" t="s">
        <v>28</v>
      </c>
      <c r="C32" s="142">
        <f>C33+C34+C35</f>
        <v>42074925</v>
      </c>
      <c r="D32" s="142"/>
      <c r="E32" s="142">
        <f>E33+E34+E35</f>
        <v>42074925</v>
      </c>
      <c r="F32" s="134"/>
      <c r="G32" s="142">
        <f>G33+G34+G35</f>
        <v>42074925</v>
      </c>
      <c r="H32" s="134"/>
      <c r="I32" s="142">
        <f>I33+I34+I35</f>
        <v>42074925</v>
      </c>
      <c r="J32" s="134"/>
      <c r="K32" s="142">
        <f>K33+K34+K35</f>
        <v>42074925</v>
      </c>
      <c r="L32" s="142">
        <f>L33+L34+L35</f>
        <v>39788668</v>
      </c>
      <c r="M32" s="134"/>
      <c r="N32" s="142">
        <f>N33+N34+N35</f>
        <v>39788668</v>
      </c>
      <c r="O32" s="134"/>
      <c r="P32" s="142">
        <f>P33+P34+P35</f>
        <v>39788668</v>
      </c>
      <c r="Q32" s="134"/>
      <c r="R32" s="142">
        <f>R33+R34+R35</f>
        <v>39788668</v>
      </c>
      <c r="S32" s="142">
        <f>S33+S34+S35</f>
        <v>39768431</v>
      </c>
      <c r="T32" s="134"/>
      <c r="U32" s="142">
        <f>U33+U34+U35</f>
        <v>39768431</v>
      </c>
      <c r="V32" s="134"/>
      <c r="W32" s="142">
        <f>W33+W34+W35</f>
        <v>39768431</v>
      </c>
      <c r="X32" s="134"/>
      <c r="Y32" s="142">
        <f>Y33+Y34+Y35</f>
        <v>39768431</v>
      </c>
      <c r="Z32" s="84"/>
      <c r="AA32" s="84"/>
    </row>
    <row r="33" spans="1:27" s="17" customFormat="1">
      <c r="A33" s="143" t="s">
        <v>29</v>
      </c>
      <c r="B33" s="195" t="s">
        <v>30</v>
      </c>
      <c r="C33" s="142">
        <v>8032000</v>
      </c>
      <c r="D33" s="142"/>
      <c r="E33" s="142">
        <v>8032000</v>
      </c>
      <c r="F33" s="134"/>
      <c r="G33" s="142">
        <v>8032000</v>
      </c>
      <c r="H33" s="134"/>
      <c r="I33" s="142">
        <v>8032000</v>
      </c>
      <c r="J33" s="134"/>
      <c r="K33" s="142">
        <v>8032000</v>
      </c>
      <c r="L33" s="198">
        <v>5766000</v>
      </c>
      <c r="M33" s="199"/>
      <c r="N33" s="198">
        <v>5766000</v>
      </c>
      <c r="O33" s="199"/>
      <c r="P33" s="198">
        <v>5766000</v>
      </c>
      <c r="Q33" s="199"/>
      <c r="R33" s="198">
        <v>5766000</v>
      </c>
      <c r="S33" s="198">
        <v>5766000</v>
      </c>
      <c r="T33" s="199"/>
      <c r="U33" s="198">
        <v>5766000</v>
      </c>
      <c r="V33" s="199"/>
      <c r="W33" s="198">
        <v>5766000</v>
      </c>
      <c r="X33" s="199"/>
      <c r="Y33" s="198">
        <v>5766000</v>
      </c>
      <c r="Z33" s="84"/>
      <c r="AA33" s="84"/>
    </row>
    <row r="34" spans="1:27" s="17" customFormat="1">
      <c r="A34" s="143" t="s">
        <v>31</v>
      </c>
      <c r="B34" s="200" t="s">
        <v>32</v>
      </c>
      <c r="C34" s="142">
        <v>20256925</v>
      </c>
      <c r="D34" s="142"/>
      <c r="E34" s="142">
        <v>20256925</v>
      </c>
      <c r="F34" s="134"/>
      <c r="G34" s="142">
        <v>20256925</v>
      </c>
      <c r="H34" s="134"/>
      <c r="I34" s="142">
        <v>20256925</v>
      </c>
      <c r="J34" s="134"/>
      <c r="K34" s="142">
        <v>20256925</v>
      </c>
      <c r="L34" s="198">
        <v>20236668</v>
      </c>
      <c r="M34" s="199"/>
      <c r="N34" s="198">
        <v>20236668</v>
      </c>
      <c r="O34" s="199"/>
      <c r="P34" s="198">
        <v>20236668</v>
      </c>
      <c r="Q34" s="199"/>
      <c r="R34" s="198">
        <v>20236668</v>
      </c>
      <c r="S34" s="198">
        <v>20216431</v>
      </c>
      <c r="T34" s="199"/>
      <c r="U34" s="198">
        <v>20216431</v>
      </c>
      <c r="V34" s="199"/>
      <c r="W34" s="198">
        <v>20216431</v>
      </c>
      <c r="X34" s="199"/>
      <c r="Y34" s="198">
        <v>20216431</v>
      </c>
      <c r="Z34" s="84"/>
      <c r="AA34" s="84"/>
    </row>
    <row r="35" spans="1:27" s="17" customFormat="1">
      <c r="A35" s="143" t="s">
        <v>33</v>
      </c>
      <c r="B35" s="195" t="s">
        <v>34</v>
      </c>
      <c r="C35" s="142">
        <v>13786000</v>
      </c>
      <c r="D35" s="142"/>
      <c r="E35" s="142">
        <v>13786000</v>
      </c>
      <c r="F35" s="134"/>
      <c r="G35" s="142">
        <v>13786000</v>
      </c>
      <c r="H35" s="134"/>
      <c r="I35" s="142">
        <v>13786000</v>
      </c>
      <c r="J35" s="134"/>
      <c r="K35" s="142">
        <v>13786000</v>
      </c>
      <c r="L35" s="198">
        <v>13786000</v>
      </c>
      <c r="M35" s="199"/>
      <c r="N35" s="198">
        <v>13786000</v>
      </c>
      <c r="O35" s="199"/>
      <c r="P35" s="198">
        <v>13786000</v>
      </c>
      <c r="Q35" s="199"/>
      <c r="R35" s="198">
        <v>13786000</v>
      </c>
      <c r="S35" s="198">
        <v>13786000</v>
      </c>
      <c r="T35" s="199"/>
      <c r="U35" s="198">
        <v>13786000</v>
      </c>
      <c r="V35" s="199"/>
      <c r="W35" s="198">
        <v>13786000</v>
      </c>
      <c r="X35" s="199"/>
      <c r="Y35" s="198">
        <v>13786000</v>
      </c>
      <c r="Z35" s="84"/>
      <c r="AA35" s="84"/>
    </row>
    <row r="36" spans="1:27" s="17" customFormat="1" ht="13.8">
      <c r="A36" s="143"/>
      <c r="B36" s="195"/>
      <c r="C36" s="153"/>
      <c r="D36" s="153"/>
      <c r="E36" s="153"/>
      <c r="F36" s="152"/>
      <c r="G36" s="153"/>
      <c r="H36" s="152"/>
      <c r="I36" s="153"/>
      <c r="J36" s="152"/>
      <c r="K36" s="153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84"/>
      <c r="AA36" s="84"/>
    </row>
    <row r="37" spans="1:27" s="17" customFormat="1">
      <c r="A37" s="147" t="s">
        <v>35</v>
      </c>
      <c r="B37" s="195" t="s">
        <v>36</v>
      </c>
      <c r="C37" s="142">
        <f>C38+C39+C40</f>
        <v>3031000</v>
      </c>
      <c r="D37" s="142"/>
      <c r="E37" s="142">
        <f>E38+E39+E40</f>
        <v>3031000</v>
      </c>
      <c r="F37" s="134"/>
      <c r="G37" s="142">
        <f>G38+G39+G40</f>
        <v>3031000</v>
      </c>
      <c r="H37" s="134"/>
      <c r="I37" s="142">
        <f>I38+I39+I40</f>
        <v>3031000</v>
      </c>
      <c r="J37" s="134"/>
      <c r="K37" s="142">
        <f>K38+K39+K40</f>
        <v>3031000</v>
      </c>
      <c r="L37" s="142">
        <f>L38+L39+L40</f>
        <v>3122000</v>
      </c>
      <c r="M37" s="134"/>
      <c r="N37" s="142">
        <f>N38+N39+N40</f>
        <v>3122000</v>
      </c>
      <c r="O37" s="134"/>
      <c r="P37" s="142">
        <f>P38+P39+P40</f>
        <v>3122000</v>
      </c>
      <c r="Q37" s="134"/>
      <c r="R37" s="142">
        <f>R38+R39+R40</f>
        <v>3122000</v>
      </c>
      <c r="S37" s="142">
        <f>S38+S39+S40</f>
        <v>3229000</v>
      </c>
      <c r="T37" s="134"/>
      <c r="U37" s="142">
        <f>U38+U39+U40</f>
        <v>3229000</v>
      </c>
      <c r="V37" s="134"/>
      <c r="W37" s="142">
        <f>W38+W39+W40</f>
        <v>3229000</v>
      </c>
      <c r="X37" s="134"/>
      <c r="Y37" s="142">
        <f>Y38+Y39+Y40</f>
        <v>3229000</v>
      </c>
      <c r="Z37" s="84"/>
      <c r="AA37" s="84"/>
    </row>
    <row r="38" spans="1:27" s="17" customFormat="1" ht="31.95" customHeight="1">
      <c r="A38" s="143" t="s">
        <v>37</v>
      </c>
      <c r="B38" s="195" t="s">
        <v>38</v>
      </c>
      <c r="C38" s="142">
        <f>3031000-C39-C40</f>
        <v>2406000</v>
      </c>
      <c r="D38" s="142"/>
      <c r="E38" s="142">
        <f>3031000-E39-E40</f>
        <v>2406000</v>
      </c>
      <c r="F38" s="134"/>
      <c r="G38" s="142">
        <f>3031000-G39-G40</f>
        <v>2406000</v>
      </c>
      <c r="H38" s="134"/>
      <c r="I38" s="142">
        <f>3031000-I39-I40</f>
        <v>2406000</v>
      </c>
      <c r="J38" s="134"/>
      <c r="K38" s="142">
        <f>3031000-K39-K40</f>
        <v>2406000</v>
      </c>
      <c r="L38" s="142">
        <f>3122000-L39-L40</f>
        <v>2502000</v>
      </c>
      <c r="M38" s="134"/>
      <c r="N38" s="142">
        <f>3122000-N39-N40</f>
        <v>2502000</v>
      </c>
      <c r="O38" s="134"/>
      <c r="P38" s="142">
        <f>3122000-P39-P40</f>
        <v>2502000</v>
      </c>
      <c r="Q38" s="134"/>
      <c r="R38" s="142">
        <f>3122000-R39-R40</f>
        <v>2502000</v>
      </c>
      <c r="S38" s="142">
        <f>3229000-S39-S40</f>
        <v>2579000</v>
      </c>
      <c r="T38" s="134"/>
      <c r="U38" s="142">
        <f>3229000-U39-U40</f>
        <v>2579000</v>
      </c>
      <c r="V38" s="134"/>
      <c r="W38" s="142">
        <f>3229000-W39-W40</f>
        <v>2579000</v>
      </c>
      <c r="X38" s="134"/>
      <c r="Y38" s="142">
        <f>3229000-Y39-Y40</f>
        <v>2579000</v>
      </c>
      <c r="Z38" s="84"/>
      <c r="AA38" s="84"/>
    </row>
    <row r="39" spans="1:27" s="17" customFormat="1" ht="45" customHeight="1">
      <c r="A39" s="143" t="s">
        <v>39</v>
      </c>
      <c r="B39" s="195" t="s">
        <v>40</v>
      </c>
      <c r="C39" s="142">
        <v>125000</v>
      </c>
      <c r="D39" s="142"/>
      <c r="E39" s="142">
        <v>125000</v>
      </c>
      <c r="F39" s="134"/>
      <c r="G39" s="142">
        <v>125000</v>
      </c>
      <c r="H39" s="134"/>
      <c r="I39" s="142">
        <v>125000</v>
      </c>
      <c r="J39" s="134"/>
      <c r="K39" s="142">
        <v>125000</v>
      </c>
      <c r="L39" s="142">
        <v>120000</v>
      </c>
      <c r="M39" s="134"/>
      <c r="N39" s="142">
        <v>120000</v>
      </c>
      <c r="O39" s="134"/>
      <c r="P39" s="142">
        <v>120000</v>
      </c>
      <c r="Q39" s="134"/>
      <c r="R39" s="142">
        <v>120000</v>
      </c>
      <c r="S39" s="142">
        <v>150000</v>
      </c>
      <c r="T39" s="134"/>
      <c r="U39" s="142">
        <v>150000</v>
      </c>
      <c r="V39" s="134"/>
      <c r="W39" s="142">
        <v>150000</v>
      </c>
      <c r="X39" s="134"/>
      <c r="Y39" s="142">
        <v>150000</v>
      </c>
      <c r="Z39" s="84"/>
      <c r="AA39" s="84"/>
    </row>
    <row r="40" spans="1:27" s="17" customFormat="1" ht="39.6">
      <c r="A40" s="143" t="s">
        <v>41</v>
      </c>
      <c r="B40" s="195" t="s">
        <v>42</v>
      </c>
      <c r="C40" s="142">
        <v>500000</v>
      </c>
      <c r="D40" s="142"/>
      <c r="E40" s="142">
        <v>500000</v>
      </c>
      <c r="F40" s="134"/>
      <c r="G40" s="142">
        <v>500000</v>
      </c>
      <c r="H40" s="134"/>
      <c r="I40" s="142">
        <v>500000</v>
      </c>
      <c r="J40" s="134"/>
      <c r="K40" s="142">
        <v>500000</v>
      </c>
      <c r="L40" s="142">
        <v>500000</v>
      </c>
      <c r="M40" s="134"/>
      <c r="N40" s="142">
        <v>500000</v>
      </c>
      <c r="O40" s="134"/>
      <c r="P40" s="142">
        <v>500000</v>
      </c>
      <c r="Q40" s="134"/>
      <c r="R40" s="142">
        <v>500000</v>
      </c>
      <c r="S40" s="142">
        <v>500000</v>
      </c>
      <c r="T40" s="134"/>
      <c r="U40" s="142">
        <v>500000</v>
      </c>
      <c r="V40" s="134"/>
      <c r="W40" s="142">
        <v>500000</v>
      </c>
      <c r="X40" s="134"/>
      <c r="Y40" s="142">
        <v>500000</v>
      </c>
      <c r="Z40" s="84"/>
      <c r="AA40" s="84"/>
    </row>
    <row r="41" spans="1:27" s="17" customFormat="1" ht="13.8">
      <c r="A41" s="143"/>
      <c r="B41" s="195"/>
      <c r="C41" s="153"/>
      <c r="D41" s="153"/>
      <c r="E41" s="153"/>
      <c r="F41" s="152"/>
      <c r="G41" s="153"/>
      <c r="H41" s="152"/>
      <c r="I41" s="153"/>
      <c r="J41" s="152"/>
      <c r="K41" s="153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84"/>
      <c r="AA41" s="84"/>
    </row>
    <row r="42" spans="1:27" s="17" customFormat="1" ht="39.6">
      <c r="A42" s="140" t="s">
        <v>43</v>
      </c>
      <c r="B42" s="195" t="s">
        <v>44</v>
      </c>
      <c r="C42" s="142">
        <f>C43+C44</f>
        <v>20237000</v>
      </c>
      <c r="D42" s="142"/>
      <c r="E42" s="142">
        <f>E43+E44</f>
        <v>20237000</v>
      </c>
      <c r="F42" s="134"/>
      <c r="G42" s="142">
        <f>G43+G44</f>
        <v>20237000</v>
      </c>
      <c r="H42" s="134"/>
      <c r="I42" s="142">
        <f>I43+I44</f>
        <v>20237000</v>
      </c>
      <c r="J42" s="134"/>
      <c r="K42" s="142">
        <f>K43+K44</f>
        <v>20237000</v>
      </c>
      <c r="L42" s="142">
        <f>L43+L44</f>
        <v>20205000</v>
      </c>
      <c r="M42" s="134"/>
      <c r="N42" s="142">
        <f>N43+N44</f>
        <v>20205000</v>
      </c>
      <c r="O42" s="134"/>
      <c r="P42" s="142">
        <f>P43+P44</f>
        <v>20205000</v>
      </c>
      <c r="Q42" s="134"/>
      <c r="R42" s="142">
        <f>R43+R44</f>
        <v>20205000</v>
      </c>
      <c r="S42" s="142">
        <f>S43+S44</f>
        <v>20205000</v>
      </c>
      <c r="T42" s="134"/>
      <c r="U42" s="142">
        <f>U43+U44</f>
        <v>20205000</v>
      </c>
      <c r="V42" s="134"/>
      <c r="W42" s="142">
        <f>W43+W44</f>
        <v>20205000</v>
      </c>
      <c r="X42" s="134"/>
      <c r="Y42" s="142">
        <f>Y43+Y44</f>
        <v>20205000</v>
      </c>
      <c r="Z42" s="84"/>
      <c r="AA42" s="84"/>
    </row>
    <row r="43" spans="1:27" ht="92.4">
      <c r="A43" s="143" t="s">
        <v>45</v>
      </c>
      <c r="B43" s="195" t="s">
        <v>46</v>
      </c>
      <c r="C43" s="142">
        <f>7300000+1100000+1803000</f>
        <v>10203000</v>
      </c>
      <c r="D43" s="142"/>
      <c r="E43" s="142">
        <f>7300000+1100000+1803000</f>
        <v>10203000</v>
      </c>
      <c r="F43" s="134"/>
      <c r="G43" s="142">
        <f>7300000+1100000+1803000</f>
        <v>10203000</v>
      </c>
      <c r="H43" s="134"/>
      <c r="I43" s="142">
        <f>7300000+1100000+1803000</f>
        <v>10203000</v>
      </c>
      <c r="J43" s="134"/>
      <c r="K43" s="142">
        <f>7300000+1100000+1803000</f>
        <v>10203000</v>
      </c>
      <c r="L43" s="142">
        <f>7300000+1100000+1771000</f>
        <v>10171000</v>
      </c>
      <c r="M43" s="134"/>
      <c r="N43" s="142">
        <f>7300000+1100000+1771000</f>
        <v>10171000</v>
      </c>
      <c r="O43" s="134"/>
      <c r="P43" s="142">
        <f>7300000+1100000+1771000</f>
        <v>10171000</v>
      </c>
      <c r="Q43" s="134"/>
      <c r="R43" s="142">
        <f>7300000+1100000+1771000</f>
        <v>10171000</v>
      </c>
      <c r="S43" s="142">
        <f>7300000+1100000+1771000</f>
        <v>10171000</v>
      </c>
      <c r="T43" s="134"/>
      <c r="U43" s="142">
        <f>7300000+1100000+1771000</f>
        <v>10171000</v>
      </c>
      <c r="V43" s="134"/>
      <c r="W43" s="142">
        <f>7300000+1100000+1771000</f>
        <v>10171000</v>
      </c>
      <c r="X43" s="134"/>
      <c r="Y43" s="142">
        <f>7300000+1100000+1771000</f>
        <v>10171000</v>
      </c>
    </row>
    <row r="44" spans="1:27" ht="79.2">
      <c r="A44" s="154" t="s">
        <v>47</v>
      </c>
      <c r="B44" s="195" t="s">
        <v>48</v>
      </c>
      <c r="C44" s="142">
        <v>10034000</v>
      </c>
      <c r="D44" s="142"/>
      <c r="E44" s="142">
        <v>10034000</v>
      </c>
      <c r="F44" s="134"/>
      <c r="G44" s="142">
        <v>10034000</v>
      </c>
      <c r="H44" s="134"/>
      <c r="I44" s="142">
        <v>10034000</v>
      </c>
      <c r="J44" s="134"/>
      <c r="K44" s="142">
        <v>10034000</v>
      </c>
      <c r="L44" s="142">
        <v>10034000</v>
      </c>
      <c r="M44" s="134"/>
      <c r="N44" s="142">
        <v>10034000</v>
      </c>
      <c r="O44" s="134"/>
      <c r="P44" s="142">
        <v>10034000</v>
      </c>
      <c r="Q44" s="134"/>
      <c r="R44" s="142">
        <v>10034000</v>
      </c>
      <c r="S44" s="142">
        <v>10034000</v>
      </c>
      <c r="T44" s="134"/>
      <c r="U44" s="142">
        <v>10034000</v>
      </c>
      <c r="V44" s="134"/>
      <c r="W44" s="142">
        <v>10034000</v>
      </c>
      <c r="X44" s="134"/>
      <c r="Y44" s="142">
        <v>10034000</v>
      </c>
    </row>
    <row r="45" spans="1:27">
      <c r="A45" s="154"/>
      <c r="B45" s="195"/>
      <c r="C45" s="142"/>
      <c r="D45" s="142"/>
      <c r="E45" s="142"/>
      <c r="F45" s="134"/>
      <c r="G45" s="142"/>
      <c r="H45" s="134"/>
      <c r="I45" s="142"/>
      <c r="J45" s="134"/>
      <c r="K45" s="142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75"/>
    </row>
    <row r="46" spans="1:27" ht="26.4">
      <c r="A46" s="147" t="s">
        <v>49</v>
      </c>
      <c r="B46" s="195" t="s">
        <v>50</v>
      </c>
      <c r="C46" s="142">
        <v>315156</v>
      </c>
      <c r="D46" s="142"/>
      <c r="E46" s="142">
        <v>315156</v>
      </c>
      <c r="F46" s="134"/>
      <c r="G46" s="142">
        <v>315156</v>
      </c>
      <c r="H46" s="134"/>
      <c r="I46" s="142">
        <v>315156</v>
      </c>
      <c r="J46" s="134"/>
      <c r="K46" s="142">
        <v>315156</v>
      </c>
      <c r="L46" s="142">
        <v>315156</v>
      </c>
      <c r="M46" s="134"/>
      <c r="N46" s="142">
        <v>315156</v>
      </c>
      <c r="O46" s="134"/>
      <c r="P46" s="142">
        <v>315156</v>
      </c>
      <c r="Q46" s="134"/>
      <c r="R46" s="142">
        <v>315156</v>
      </c>
      <c r="S46" s="142">
        <v>315156</v>
      </c>
      <c r="T46" s="134"/>
      <c r="U46" s="142">
        <v>315156</v>
      </c>
      <c r="V46" s="134"/>
      <c r="W46" s="142">
        <v>315156</v>
      </c>
      <c r="X46" s="134"/>
      <c r="Y46" s="142">
        <v>315156</v>
      </c>
      <c r="Z46" s="176"/>
    </row>
    <row r="47" spans="1:27">
      <c r="A47" s="143"/>
      <c r="B47" s="195"/>
      <c r="C47" s="142"/>
      <c r="D47" s="142"/>
      <c r="E47" s="142"/>
      <c r="F47" s="134"/>
      <c r="G47" s="142"/>
      <c r="H47" s="134"/>
      <c r="I47" s="142"/>
      <c r="J47" s="134"/>
      <c r="K47" s="142"/>
      <c r="L47" s="142"/>
      <c r="M47" s="134"/>
      <c r="N47" s="142"/>
      <c r="O47" s="134"/>
      <c r="P47" s="142"/>
      <c r="Q47" s="134"/>
      <c r="R47" s="142"/>
      <c r="S47" s="142"/>
      <c r="T47" s="134"/>
      <c r="U47" s="142"/>
      <c r="V47" s="134"/>
      <c r="W47" s="142"/>
      <c r="X47" s="134"/>
      <c r="Y47" s="142"/>
      <c r="Z47" s="175"/>
    </row>
    <row r="48" spans="1:27" s="34" customFormat="1" ht="26.4">
      <c r="A48" s="147" t="s">
        <v>51</v>
      </c>
      <c r="B48" s="195" t="s">
        <v>52</v>
      </c>
      <c r="C48" s="142">
        <f>C49</f>
        <v>200000</v>
      </c>
      <c r="D48" s="142"/>
      <c r="E48" s="142">
        <f>E49</f>
        <v>200000</v>
      </c>
      <c r="F48" s="134"/>
      <c r="G48" s="142">
        <f>G49</f>
        <v>200000</v>
      </c>
      <c r="H48" s="134"/>
      <c r="I48" s="142">
        <f>I49</f>
        <v>200000</v>
      </c>
      <c r="J48" s="134"/>
      <c r="K48" s="142">
        <f>K49</f>
        <v>200000</v>
      </c>
      <c r="L48" s="142">
        <f>L49</f>
        <v>200000</v>
      </c>
      <c r="M48" s="134"/>
      <c r="N48" s="142">
        <f>N49</f>
        <v>200000</v>
      </c>
      <c r="O48" s="134"/>
      <c r="P48" s="142">
        <f>P49</f>
        <v>200000</v>
      </c>
      <c r="Q48" s="134"/>
      <c r="R48" s="142">
        <f>R49</f>
        <v>200000</v>
      </c>
      <c r="S48" s="142">
        <f>S49</f>
        <v>200000</v>
      </c>
      <c r="T48" s="134"/>
      <c r="U48" s="142">
        <f>U49</f>
        <v>200000</v>
      </c>
      <c r="V48" s="134"/>
      <c r="W48" s="142">
        <f>W49</f>
        <v>200000</v>
      </c>
      <c r="X48" s="134"/>
      <c r="Y48" s="142">
        <f>Y49</f>
        <v>200000</v>
      </c>
      <c r="Z48" s="84"/>
      <c r="AA48" s="177"/>
    </row>
    <row r="49" spans="1:27" s="34" customFormat="1">
      <c r="A49" s="143" t="s">
        <v>53</v>
      </c>
      <c r="B49" s="195" t="s">
        <v>54</v>
      </c>
      <c r="C49" s="142">
        <v>200000</v>
      </c>
      <c r="D49" s="142"/>
      <c r="E49" s="142">
        <v>200000</v>
      </c>
      <c r="F49" s="134"/>
      <c r="G49" s="142">
        <v>200000</v>
      </c>
      <c r="H49" s="134"/>
      <c r="I49" s="142">
        <v>200000</v>
      </c>
      <c r="J49" s="134"/>
      <c r="K49" s="142">
        <v>200000</v>
      </c>
      <c r="L49" s="142">
        <v>200000</v>
      </c>
      <c r="M49" s="134"/>
      <c r="N49" s="142">
        <v>200000</v>
      </c>
      <c r="O49" s="134"/>
      <c r="P49" s="142">
        <v>200000</v>
      </c>
      <c r="Q49" s="134"/>
      <c r="R49" s="142">
        <v>200000</v>
      </c>
      <c r="S49" s="142">
        <v>200000</v>
      </c>
      <c r="T49" s="134"/>
      <c r="U49" s="142">
        <v>200000</v>
      </c>
      <c r="V49" s="134"/>
      <c r="W49" s="142">
        <v>200000</v>
      </c>
      <c r="X49" s="134"/>
      <c r="Y49" s="142">
        <v>200000</v>
      </c>
      <c r="Z49" s="84"/>
      <c r="AA49" s="177"/>
    </row>
    <row r="50" spans="1:27" s="34" customFormat="1">
      <c r="A50" s="143"/>
      <c r="B50" s="195"/>
      <c r="C50" s="142"/>
      <c r="D50" s="142"/>
      <c r="E50" s="142"/>
      <c r="F50" s="134"/>
      <c r="G50" s="142"/>
      <c r="H50" s="134"/>
      <c r="I50" s="142"/>
      <c r="J50" s="134"/>
      <c r="K50" s="142"/>
      <c r="L50" s="142"/>
      <c r="M50" s="134"/>
      <c r="N50" s="142"/>
      <c r="O50" s="134"/>
      <c r="P50" s="142"/>
      <c r="Q50" s="134"/>
      <c r="R50" s="142"/>
      <c r="S50" s="142"/>
      <c r="T50" s="134"/>
      <c r="U50" s="142"/>
      <c r="V50" s="134"/>
      <c r="W50" s="142"/>
      <c r="X50" s="134"/>
      <c r="Y50" s="142"/>
      <c r="Z50" s="84"/>
      <c r="AA50" s="177"/>
    </row>
    <row r="51" spans="1:27" s="34" customFormat="1" ht="26.4">
      <c r="A51" s="147" t="s">
        <v>55</v>
      </c>
      <c r="B51" s="195" t="s">
        <v>56</v>
      </c>
      <c r="C51" s="142">
        <f>C52+C53</f>
        <v>1595000</v>
      </c>
      <c r="D51" s="142"/>
      <c r="E51" s="142">
        <f>E52+E53</f>
        <v>1595000</v>
      </c>
      <c r="F51" s="134"/>
      <c r="G51" s="142">
        <f>G52+G53</f>
        <v>1595000</v>
      </c>
      <c r="H51" s="134"/>
      <c r="I51" s="142">
        <f>I52+I53</f>
        <v>1595000</v>
      </c>
      <c r="J51" s="134"/>
      <c r="K51" s="142">
        <f>K52+K53</f>
        <v>1595000</v>
      </c>
      <c r="L51" s="142">
        <f>L52+L53</f>
        <v>1241000</v>
      </c>
      <c r="M51" s="134"/>
      <c r="N51" s="142">
        <f>N52+N53</f>
        <v>1241000</v>
      </c>
      <c r="O51" s="134"/>
      <c r="P51" s="142">
        <f>P52+P53</f>
        <v>1241000</v>
      </c>
      <c r="Q51" s="134"/>
      <c r="R51" s="142">
        <f>R52+R53</f>
        <v>1241000</v>
      </c>
      <c r="S51" s="142">
        <f>S52+S53</f>
        <v>1180000</v>
      </c>
      <c r="T51" s="134"/>
      <c r="U51" s="142">
        <f>U52+U53</f>
        <v>1180000</v>
      </c>
      <c r="V51" s="134"/>
      <c r="W51" s="142">
        <f>W52+W53</f>
        <v>1180000</v>
      </c>
      <c r="X51" s="134"/>
      <c r="Y51" s="142">
        <f>Y52+Y53</f>
        <v>1180000</v>
      </c>
      <c r="Z51" s="84"/>
      <c r="AA51" s="177"/>
    </row>
    <row r="52" spans="1:27" s="34" customFormat="1" ht="79.2">
      <c r="A52" s="143" t="s">
        <v>57</v>
      </c>
      <c r="B52" s="195" t="s">
        <v>58</v>
      </c>
      <c r="C52" s="142">
        <v>595000</v>
      </c>
      <c r="D52" s="142"/>
      <c r="E52" s="142">
        <v>595000</v>
      </c>
      <c r="F52" s="134"/>
      <c r="G52" s="142">
        <v>595000</v>
      </c>
      <c r="H52" s="134"/>
      <c r="I52" s="142">
        <v>595000</v>
      </c>
      <c r="J52" s="134"/>
      <c r="K52" s="142">
        <v>595000</v>
      </c>
      <c r="L52" s="142">
        <v>241000</v>
      </c>
      <c r="M52" s="134"/>
      <c r="N52" s="142">
        <v>241000</v>
      </c>
      <c r="O52" s="134"/>
      <c r="P52" s="142">
        <v>241000</v>
      </c>
      <c r="Q52" s="134"/>
      <c r="R52" s="142">
        <v>241000</v>
      </c>
      <c r="S52" s="142">
        <v>180000</v>
      </c>
      <c r="T52" s="134"/>
      <c r="U52" s="142">
        <v>180000</v>
      </c>
      <c r="V52" s="134"/>
      <c r="W52" s="142">
        <v>180000</v>
      </c>
      <c r="X52" s="134"/>
      <c r="Y52" s="142">
        <v>180000</v>
      </c>
      <c r="Z52" s="176"/>
      <c r="AA52" s="177"/>
    </row>
    <row r="53" spans="1:27" s="34" customFormat="1" ht="39.6">
      <c r="A53" s="143" t="s">
        <v>59</v>
      </c>
      <c r="B53" s="195" t="s">
        <v>60</v>
      </c>
      <c r="C53" s="142">
        <v>1000000</v>
      </c>
      <c r="D53" s="142"/>
      <c r="E53" s="142">
        <v>1000000</v>
      </c>
      <c r="F53" s="134"/>
      <c r="G53" s="142">
        <v>1000000</v>
      </c>
      <c r="H53" s="134"/>
      <c r="I53" s="142">
        <v>1000000</v>
      </c>
      <c r="J53" s="134"/>
      <c r="K53" s="142">
        <v>1000000</v>
      </c>
      <c r="L53" s="142">
        <v>1000000</v>
      </c>
      <c r="M53" s="134"/>
      <c r="N53" s="142">
        <v>1000000</v>
      </c>
      <c r="O53" s="134"/>
      <c r="P53" s="142">
        <v>1000000</v>
      </c>
      <c r="Q53" s="134"/>
      <c r="R53" s="142">
        <v>1000000</v>
      </c>
      <c r="S53" s="142">
        <v>1000000</v>
      </c>
      <c r="T53" s="134"/>
      <c r="U53" s="142">
        <v>1000000</v>
      </c>
      <c r="V53" s="134"/>
      <c r="W53" s="142">
        <v>1000000</v>
      </c>
      <c r="X53" s="134"/>
      <c r="Y53" s="142">
        <v>1000000</v>
      </c>
      <c r="Z53" s="176"/>
      <c r="AA53" s="177"/>
    </row>
    <row r="54" spans="1:27" s="34" customFormat="1">
      <c r="A54" s="143"/>
      <c r="B54" s="195"/>
      <c r="C54" s="142"/>
      <c r="D54" s="142"/>
      <c r="E54" s="142"/>
      <c r="F54" s="134"/>
      <c r="G54" s="142"/>
      <c r="H54" s="134"/>
      <c r="I54" s="142"/>
      <c r="J54" s="134"/>
      <c r="K54" s="142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84"/>
      <c r="AA54" s="177"/>
    </row>
    <row r="55" spans="1:27" s="34" customFormat="1">
      <c r="A55" s="147" t="s">
        <v>61</v>
      </c>
      <c r="B55" s="195" t="s">
        <v>62</v>
      </c>
      <c r="C55" s="142">
        <v>2091000</v>
      </c>
      <c r="D55" s="142"/>
      <c r="E55" s="142">
        <v>2091000</v>
      </c>
      <c r="F55" s="134"/>
      <c r="G55" s="142">
        <v>2091000</v>
      </c>
      <c r="H55" s="134"/>
      <c r="I55" s="142">
        <v>2091000</v>
      </c>
      <c r="J55" s="134"/>
      <c r="K55" s="142">
        <v>2091000</v>
      </c>
      <c r="L55" s="142">
        <v>2091000</v>
      </c>
      <c r="M55" s="134"/>
      <c r="N55" s="142">
        <v>2091000</v>
      </c>
      <c r="O55" s="134"/>
      <c r="P55" s="142">
        <v>2091000</v>
      </c>
      <c r="Q55" s="134"/>
      <c r="R55" s="142">
        <v>2091000</v>
      </c>
      <c r="S55" s="142">
        <v>2091000</v>
      </c>
      <c r="T55" s="134"/>
      <c r="U55" s="142">
        <v>2091000</v>
      </c>
      <c r="V55" s="134"/>
      <c r="W55" s="142">
        <v>2091000</v>
      </c>
      <c r="X55" s="134"/>
      <c r="Y55" s="142">
        <v>2091000</v>
      </c>
      <c r="Z55" s="84"/>
      <c r="AA55" s="177"/>
    </row>
    <row r="56" spans="1:27" s="34" customFormat="1">
      <c r="A56" s="143"/>
      <c r="B56" s="195"/>
      <c r="C56" s="142"/>
      <c r="D56" s="142"/>
      <c r="E56" s="142"/>
      <c r="F56" s="134"/>
      <c r="G56" s="142"/>
      <c r="H56" s="134"/>
      <c r="I56" s="142"/>
      <c r="J56" s="134"/>
      <c r="K56" s="142"/>
      <c r="L56" s="142"/>
      <c r="M56" s="134"/>
      <c r="N56" s="142"/>
      <c r="O56" s="134"/>
      <c r="P56" s="142"/>
      <c r="Q56" s="134"/>
      <c r="R56" s="142"/>
      <c r="S56" s="142"/>
      <c r="T56" s="134"/>
      <c r="U56" s="142"/>
      <c r="V56" s="134"/>
      <c r="W56" s="142"/>
      <c r="X56" s="134"/>
      <c r="Y56" s="142"/>
      <c r="Z56" s="84"/>
      <c r="AA56" s="177"/>
    </row>
    <row r="57" spans="1:27" s="34" customFormat="1">
      <c r="A57" s="147" t="s">
        <v>63</v>
      </c>
      <c r="B57" s="195" t="s">
        <v>64</v>
      </c>
      <c r="C57" s="142">
        <v>0</v>
      </c>
      <c r="D57" s="142"/>
      <c r="E57" s="142">
        <v>0</v>
      </c>
      <c r="F57" s="134"/>
      <c r="G57" s="142">
        <v>0</v>
      </c>
      <c r="H57" s="134"/>
      <c r="I57" s="142">
        <v>0</v>
      </c>
      <c r="J57" s="134"/>
      <c r="K57" s="142">
        <v>0</v>
      </c>
      <c r="L57" s="142">
        <v>0</v>
      </c>
      <c r="M57" s="134"/>
      <c r="N57" s="142">
        <v>0</v>
      </c>
      <c r="O57" s="134"/>
      <c r="P57" s="142">
        <v>0</v>
      </c>
      <c r="Q57" s="134"/>
      <c r="R57" s="142">
        <v>0</v>
      </c>
      <c r="S57" s="142">
        <v>0</v>
      </c>
      <c r="T57" s="134"/>
      <c r="U57" s="142">
        <v>0</v>
      </c>
      <c r="V57" s="134"/>
      <c r="W57" s="142">
        <v>0</v>
      </c>
      <c r="X57" s="134"/>
      <c r="Y57" s="142">
        <v>0</v>
      </c>
      <c r="Z57" s="84"/>
      <c r="AA57" s="177"/>
    </row>
    <row r="58" spans="1:27" s="34" customFormat="1">
      <c r="A58" s="143"/>
      <c r="B58" s="195"/>
      <c r="C58" s="142"/>
      <c r="D58" s="142"/>
      <c r="E58" s="142"/>
      <c r="F58" s="134"/>
      <c r="G58" s="142"/>
      <c r="H58" s="134"/>
      <c r="I58" s="142"/>
      <c r="J58" s="134"/>
      <c r="K58" s="142"/>
      <c r="L58" s="142"/>
      <c r="M58" s="134"/>
      <c r="N58" s="142"/>
      <c r="O58" s="134"/>
      <c r="P58" s="142"/>
      <c r="Q58" s="134"/>
      <c r="R58" s="142"/>
      <c r="S58" s="142"/>
      <c r="T58" s="134"/>
      <c r="U58" s="142"/>
      <c r="V58" s="134"/>
      <c r="W58" s="142"/>
      <c r="X58" s="134"/>
      <c r="Y58" s="142"/>
      <c r="Z58" s="84"/>
      <c r="AA58" s="177"/>
    </row>
    <row r="59" spans="1:27" s="34" customFormat="1">
      <c r="A59" s="53" t="s">
        <v>65</v>
      </c>
      <c r="B59" s="201" t="s">
        <v>66</v>
      </c>
      <c r="C59" s="157">
        <f t="shared" ref="C59:Y59" si="8">C61+C122</f>
        <v>1831821024.6700001</v>
      </c>
      <c r="D59" s="157">
        <f t="shared" si="8"/>
        <v>0</v>
      </c>
      <c r="E59" s="157">
        <f t="shared" si="8"/>
        <v>1831821024.6700001</v>
      </c>
      <c r="F59" s="157">
        <f t="shared" si="8"/>
        <v>1172269655.6500001</v>
      </c>
      <c r="G59" s="157">
        <f t="shared" si="8"/>
        <v>3004090680.3200002</v>
      </c>
      <c r="H59" s="157">
        <f t="shared" si="8"/>
        <v>29389969.340000004</v>
      </c>
      <c r="I59" s="157">
        <f t="shared" si="8"/>
        <v>3033480649.6600003</v>
      </c>
      <c r="J59" s="157">
        <f t="shared" si="8"/>
        <v>35097769.749999993</v>
      </c>
      <c r="K59" s="157">
        <f t="shared" si="8"/>
        <v>3068578419.4099998</v>
      </c>
      <c r="L59" s="157">
        <f t="shared" si="8"/>
        <v>1854863210.0799999</v>
      </c>
      <c r="M59" s="157">
        <f t="shared" si="8"/>
        <v>142963151.66999999</v>
      </c>
      <c r="N59" s="157">
        <f t="shared" si="8"/>
        <v>1997826361.75</v>
      </c>
      <c r="O59" s="157">
        <f t="shared" si="8"/>
        <v>37564.14</v>
      </c>
      <c r="P59" s="157">
        <f t="shared" si="8"/>
        <v>1997863925.8899999</v>
      </c>
      <c r="Q59" s="157">
        <f t="shared" si="8"/>
        <v>3379093.7600000002</v>
      </c>
      <c r="R59" s="157">
        <f t="shared" si="8"/>
        <v>2001243019.6500001</v>
      </c>
      <c r="S59" s="157">
        <f t="shared" si="8"/>
        <v>1906654894.5599999</v>
      </c>
      <c r="T59" s="157">
        <f t="shared" si="8"/>
        <v>220423882.55000001</v>
      </c>
      <c r="U59" s="157">
        <f t="shared" si="8"/>
        <v>2127078777.1099999</v>
      </c>
      <c r="V59" s="157">
        <f t="shared" si="8"/>
        <v>37564.14</v>
      </c>
      <c r="W59" s="157">
        <f t="shared" si="8"/>
        <v>2127116341.25</v>
      </c>
      <c r="X59" s="157">
        <f t="shared" si="8"/>
        <v>4374522.75</v>
      </c>
      <c r="Y59" s="157">
        <f t="shared" si="8"/>
        <v>2131490863.9999998</v>
      </c>
      <c r="Z59" s="84"/>
      <c r="AA59" s="177"/>
    </row>
    <row r="60" spans="1:27" s="34" customFormat="1">
      <c r="A60" s="143"/>
      <c r="B60" s="202"/>
      <c r="C60" s="160"/>
      <c r="D60" s="160"/>
      <c r="E60" s="160"/>
      <c r="F60" s="157"/>
      <c r="G60" s="160"/>
      <c r="H60" s="157"/>
      <c r="I60" s="160"/>
      <c r="J60" s="157"/>
      <c r="K60" s="160"/>
      <c r="L60" s="160"/>
      <c r="M60" s="157"/>
      <c r="N60" s="160"/>
      <c r="O60" s="157"/>
      <c r="P60" s="160"/>
      <c r="Q60" s="157"/>
      <c r="R60" s="160"/>
      <c r="S60" s="160"/>
      <c r="T60" s="157"/>
      <c r="U60" s="160"/>
      <c r="V60" s="157"/>
      <c r="W60" s="160"/>
      <c r="X60" s="157"/>
      <c r="Y60" s="160"/>
      <c r="Z60" s="84"/>
      <c r="AA60" s="177"/>
    </row>
    <row r="61" spans="1:27" s="34" customFormat="1" ht="39.6">
      <c r="A61" s="140" t="s">
        <v>67</v>
      </c>
      <c r="B61" s="168" t="s">
        <v>68</v>
      </c>
      <c r="C61" s="160">
        <f>C62+C66+C89+C106</f>
        <v>1827087045.6400001</v>
      </c>
      <c r="D61" s="160"/>
      <c r="E61" s="160">
        <f t="shared" ref="E61:Y61" si="9">E62+E66+E89+E106</f>
        <v>1827087045.6400001</v>
      </c>
      <c r="F61" s="160">
        <f t="shared" si="9"/>
        <v>1034873655.6500001</v>
      </c>
      <c r="G61" s="160">
        <f t="shared" si="9"/>
        <v>2861960701.29</v>
      </c>
      <c r="H61" s="160">
        <f t="shared" si="9"/>
        <v>29389969.340000004</v>
      </c>
      <c r="I61" s="160">
        <f t="shared" si="9"/>
        <v>2891350670.6300001</v>
      </c>
      <c r="J61" s="160">
        <f t="shared" si="9"/>
        <v>34651241.989999995</v>
      </c>
      <c r="K61" s="160">
        <f t="shared" si="9"/>
        <v>2926001912.6199999</v>
      </c>
      <c r="L61" s="160">
        <f t="shared" si="9"/>
        <v>1854863210.0799999</v>
      </c>
      <c r="M61" s="160">
        <f t="shared" si="9"/>
        <v>5567151.6699999999</v>
      </c>
      <c r="N61" s="160">
        <f t="shared" si="9"/>
        <v>1860430361.75</v>
      </c>
      <c r="O61" s="160">
        <f t="shared" si="9"/>
        <v>37564.14</v>
      </c>
      <c r="P61" s="160">
        <f t="shared" si="9"/>
        <v>1860467925.8899999</v>
      </c>
      <c r="Q61" s="160">
        <f t="shared" si="9"/>
        <v>3379093.7600000002</v>
      </c>
      <c r="R61" s="160">
        <f t="shared" si="9"/>
        <v>1863847019.6500001</v>
      </c>
      <c r="S61" s="160">
        <f t="shared" si="9"/>
        <v>1906654894.5599999</v>
      </c>
      <c r="T61" s="160">
        <f t="shared" si="9"/>
        <v>83027882.549999997</v>
      </c>
      <c r="U61" s="160">
        <f t="shared" si="9"/>
        <v>1989682777.1099999</v>
      </c>
      <c r="V61" s="160">
        <f t="shared" si="9"/>
        <v>37564.14</v>
      </c>
      <c r="W61" s="160">
        <f t="shared" si="9"/>
        <v>1989720341.25</v>
      </c>
      <c r="X61" s="160">
        <f t="shared" si="9"/>
        <v>4374522.75</v>
      </c>
      <c r="Y61" s="160">
        <f t="shared" si="9"/>
        <v>1994094863.9999998</v>
      </c>
      <c r="Z61" s="84"/>
      <c r="AA61" s="177"/>
    </row>
    <row r="62" spans="1:27" s="89" customFormat="1" ht="26.4">
      <c r="A62" s="162" t="s">
        <v>69</v>
      </c>
      <c r="B62" s="203" t="s">
        <v>70</v>
      </c>
      <c r="C62" s="134">
        <f>SUM(C63:C64)</f>
        <v>459597927.19</v>
      </c>
      <c r="D62" s="134"/>
      <c r="E62" s="134">
        <f>SUM(E63:E64)</f>
        <v>459597927.19</v>
      </c>
      <c r="F62" s="134">
        <f t="shared" ref="F62:G62" si="10">SUM(F63:F64)</f>
        <v>0</v>
      </c>
      <c r="G62" s="134">
        <f t="shared" si="10"/>
        <v>459597927.19</v>
      </c>
      <c r="H62" s="134">
        <f t="shared" ref="H62:I62" si="11">SUM(H63:H64)</f>
        <v>0</v>
      </c>
      <c r="I62" s="134">
        <f t="shared" si="11"/>
        <v>459597927.19</v>
      </c>
      <c r="J62" s="134">
        <f t="shared" ref="J62:K62" si="12">SUM(J63:J64)</f>
        <v>0</v>
      </c>
      <c r="K62" s="134">
        <f t="shared" si="12"/>
        <v>459597927.19</v>
      </c>
      <c r="L62" s="134">
        <f>SUM(L63:L64)</f>
        <v>555534416.65999997</v>
      </c>
      <c r="M62" s="134">
        <f t="shared" ref="M62:N62" si="13">SUM(M63:M64)</f>
        <v>0</v>
      </c>
      <c r="N62" s="134">
        <f t="shared" si="13"/>
        <v>555534416.65999997</v>
      </c>
      <c r="O62" s="134">
        <f t="shared" ref="O62:P62" si="14">SUM(O63:O64)</f>
        <v>0</v>
      </c>
      <c r="P62" s="134">
        <f t="shared" si="14"/>
        <v>555534416.65999997</v>
      </c>
      <c r="Q62" s="134">
        <f t="shared" ref="Q62:R62" si="15">SUM(Q63:Q64)</f>
        <v>0</v>
      </c>
      <c r="R62" s="134">
        <f t="shared" si="15"/>
        <v>555534416.65999997</v>
      </c>
      <c r="S62" s="134">
        <f>SUM(S63:S64)</f>
        <v>584348084.79999995</v>
      </c>
      <c r="T62" s="134">
        <f t="shared" ref="T62:U62" si="16">SUM(T63:T64)</f>
        <v>0</v>
      </c>
      <c r="U62" s="134">
        <f t="shared" si="16"/>
        <v>584348084.79999995</v>
      </c>
      <c r="V62" s="134">
        <f t="shared" ref="V62:W62" si="17">SUM(V63:V64)</f>
        <v>0</v>
      </c>
      <c r="W62" s="134">
        <f t="shared" si="17"/>
        <v>584348084.79999995</v>
      </c>
      <c r="X62" s="134">
        <f t="shared" ref="X62:Y62" si="18">SUM(X63:X64)</f>
        <v>0</v>
      </c>
      <c r="Y62" s="134">
        <f t="shared" si="18"/>
        <v>584348084.79999995</v>
      </c>
      <c r="Z62" s="178"/>
      <c r="AA62" s="178"/>
    </row>
    <row r="63" spans="1:27" s="17" customFormat="1" ht="26.4">
      <c r="A63" s="163" t="s">
        <v>71</v>
      </c>
      <c r="B63" s="168" t="s">
        <v>72</v>
      </c>
      <c r="C63" s="142">
        <v>78849761.290000007</v>
      </c>
      <c r="D63" s="142"/>
      <c r="E63" s="142">
        <v>78849761.290000007</v>
      </c>
      <c r="F63" s="134"/>
      <c r="G63" s="142">
        <v>78849761.290000007</v>
      </c>
      <c r="H63" s="134"/>
      <c r="I63" s="142">
        <v>78849761.290000007</v>
      </c>
      <c r="J63" s="134"/>
      <c r="K63" s="142">
        <v>78849761.290000007</v>
      </c>
      <c r="L63" s="142">
        <v>70405204.780000001</v>
      </c>
      <c r="M63" s="134"/>
      <c r="N63" s="142">
        <v>70405204.780000001</v>
      </c>
      <c r="O63" s="134"/>
      <c r="P63" s="142">
        <v>70405204.780000001</v>
      </c>
      <c r="Q63" s="134"/>
      <c r="R63" s="142">
        <v>70405204.780000001</v>
      </c>
      <c r="S63" s="142">
        <v>82469353.299999997</v>
      </c>
      <c r="T63" s="134"/>
      <c r="U63" s="142">
        <v>82469353.299999997</v>
      </c>
      <c r="V63" s="134"/>
      <c r="W63" s="142">
        <v>82469353.299999997</v>
      </c>
      <c r="X63" s="134"/>
      <c r="Y63" s="142">
        <v>82469353.299999997</v>
      </c>
      <c r="Z63" s="84"/>
      <c r="AA63" s="84"/>
    </row>
    <row r="64" spans="1:27" s="17" customFormat="1" ht="52.8">
      <c r="A64" s="163" t="s">
        <v>73</v>
      </c>
      <c r="B64" s="168" t="s">
        <v>123</v>
      </c>
      <c r="C64" s="142">
        <v>380748165.89999998</v>
      </c>
      <c r="D64" s="142"/>
      <c r="E64" s="142">
        <v>380748165.89999998</v>
      </c>
      <c r="F64" s="134"/>
      <c r="G64" s="142">
        <v>380748165.89999998</v>
      </c>
      <c r="H64" s="134"/>
      <c r="I64" s="142">
        <v>380748165.89999998</v>
      </c>
      <c r="J64" s="134"/>
      <c r="K64" s="142">
        <v>380748165.89999998</v>
      </c>
      <c r="L64" s="142">
        <f>450502757.25+23998756+10627698.63</f>
        <v>485129211.88</v>
      </c>
      <c r="M64" s="134"/>
      <c r="N64" s="142">
        <f>450502757.25+23998756+10627698.63</f>
        <v>485129211.88</v>
      </c>
      <c r="O64" s="134"/>
      <c r="P64" s="142">
        <f>450502757.25+23998756+10627698.63</f>
        <v>485129211.88</v>
      </c>
      <c r="Q64" s="134"/>
      <c r="R64" s="142">
        <f>450502757.25+23998756+10627698.63</f>
        <v>485129211.88</v>
      </c>
      <c r="S64" s="142">
        <f>438504754.87+48713278+14660698.63</f>
        <v>501878731.5</v>
      </c>
      <c r="T64" s="134"/>
      <c r="U64" s="142">
        <f>438504754.87+48713278+14660698.63</f>
        <v>501878731.5</v>
      </c>
      <c r="V64" s="134"/>
      <c r="W64" s="142">
        <f>438504754.87+48713278+14660698.63</f>
        <v>501878731.5</v>
      </c>
      <c r="X64" s="134"/>
      <c r="Y64" s="142">
        <f>438504754.87+48713278+14660698.63</f>
        <v>501878731.5</v>
      </c>
      <c r="Z64" s="84"/>
      <c r="AA64" s="84"/>
    </row>
    <row r="65" spans="1:27" s="17" customFormat="1">
      <c r="A65" s="164"/>
      <c r="B65" s="204"/>
      <c r="C65" s="142"/>
      <c r="D65" s="142"/>
      <c r="E65" s="142"/>
      <c r="F65" s="134"/>
      <c r="G65" s="142"/>
      <c r="H65" s="134"/>
      <c r="I65" s="142"/>
      <c r="J65" s="134"/>
      <c r="K65" s="142"/>
      <c r="L65" s="142"/>
      <c r="M65" s="134"/>
      <c r="N65" s="142"/>
      <c r="O65" s="134"/>
      <c r="P65" s="142"/>
      <c r="Q65" s="134"/>
      <c r="R65" s="142"/>
      <c r="S65" s="142"/>
      <c r="T65" s="134"/>
      <c r="U65" s="142"/>
      <c r="V65" s="134"/>
      <c r="W65" s="142"/>
      <c r="X65" s="134"/>
      <c r="Y65" s="142"/>
      <c r="Z65" s="84"/>
      <c r="AA65" s="84"/>
    </row>
    <row r="66" spans="1:27" s="89" customFormat="1" ht="39.6">
      <c r="A66" s="162" t="s">
        <v>74</v>
      </c>
      <c r="B66" s="203" t="s">
        <v>75</v>
      </c>
      <c r="C66" s="134">
        <f>SUM(C69:C80)</f>
        <v>331460299.98000002</v>
      </c>
      <c r="D66" s="134"/>
      <c r="E66" s="134">
        <f>SUM(E69:E88)</f>
        <v>331460299.98000002</v>
      </c>
      <c r="F66" s="134">
        <f>SUM(F69:F88)</f>
        <v>4471657.6500000004</v>
      </c>
      <c r="G66" s="134">
        <f>SUM(G67:G88)</f>
        <v>335931957.63</v>
      </c>
      <c r="H66" s="134">
        <f>SUM(H67:H88)</f>
        <v>37554475.340000004</v>
      </c>
      <c r="I66" s="134">
        <f>SUM(I67:I88)</f>
        <v>373486432.96999997</v>
      </c>
      <c r="J66" s="134">
        <f>SUM(J67:J88)</f>
        <v>640377.4700000002</v>
      </c>
      <c r="K66" s="134">
        <f>SUM(K67:K88)</f>
        <v>374126810.43999994</v>
      </c>
      <c r="L66" s="134">
        <f t="shared" ref="L66:Y66" si="19">SUM(L69:L88)</f>
        <v>339727537.89999998</v>
      </c>
      <c r="M66" s="134">
        <f t="shared" si="19"/>
        <v>-588911.16999999993</v>
      </c>
      <c r="N66" s="134">
        <f t="shared" si="19"/>
        <v>339138626.73000002</v>
      </c>
      <c r="O66" s="134">
        <f t="shared" si="19"/>
        <v>0</v>
      </c>
      <c r="P66" s="134">
        <f t="shared" si="19"/>
        <v>339138626.73000002</v>
      </c>
      <c r="Q66" s="134">
        <f t="shared" si="19"/>
        <v>2876751.58</v>
      </c>
      <c r="R66" s="134">
        <f t="shared" si="19"/>
        <v>342015378.31</v>
      </c>
      <c r="S66" s="134">
        <f t="shared" si="19"/>
        <v>355567566.81</v>
      </c>
      <c r="T66" s="134">
        <f t="shared" si="19"/>
        <v>-1070037.6300000001</v>
      </c>
      <c r="U66" s="134">
        <f t="shared" si="19"/>
        <v>354497529.18000001</v>
      </c>
      <c r="V66" s="134">
        <f t="shared" si="19"/>
        <v>0</v>
      </c>
      <c r="W66" s="134">
        <f t="shared" si="19"/>
        <v>354497529.18000001</v>
      </c>
      <c r="X66" s="134">
        <f t="shared" si="19"/>
        <v>2876751.58</v>
      </c>
      <c r="Y66" s="134">
        <f t="shared" si="19"/>
        <v>357374280.75999999</v>
      </c>
      <c r="Z66" s="178"/>
      <c r="AA66" s="178"/>
    </row>
    <row r="67" spans="1:27" s="89" customFormat="1" ht="54.75" customHeight="1">
      <c r="A67" s="167" t="s">
        <v>154</v>
      </c>
      <c r="B67" s="168" t="s">
        <v>152</v>
      </c>
      <c r="C67" s="134"/>
      <c r="D67" s="134"/>
      <c r="E67" s="134"/>
      <c r="F67" s="134"/>
      <c r="G67" s="134"/>
      <c r="H67" s="134">
        <v>9433480</v>
      </c>
      <c r="I67" s="142">
        <f>G67+H67</f>
        <v>9433480</v>
      </c>
      <c r="J67" s="134"/>
      <c r="K67" s="142">
        <f>I67+J67</f>
        <v>9433480</v>
      </c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78"/>
      <c r="AA67" s="178"/>
    </row>
    <row r="68" spans="1:27" s="89" customFormat="1" ht="51.6" customHeight="1">
      <c r="A68" s="167" t="s">
        <v>155</v>
      </c>
      <c r="B68" s="168" t="s">
        <v>153</v>
      </c>
      <c r="C68" s="134"/>
      <c r="D68" s="134"/>
      <c r="E68" s="134"/>
      <c r="F68" s="134"/>
      <c r="G68" s="134"/>
      <c r="H68" s="134">
        <v>182894</v>
      </c>
      <c r="I68" s="142">
        <f>G68+H68</f>
        <v>182894</v>
      </c>
      <c r="J68" s="134"/>
      <c r="K68" s="142">
        <f>I68+J68</f>
        <v>182894</v>
      </c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78"/>
      <c r="AA68" s="178"/>
    </row>
    <row r="69" spans="1:27" s="17" customFormat="1" ht="52.8">
      <c r="A69" s="163" t="s">
        <v>77</v>
      </c>
      <c r="B69" s="168" t="s">
        <v>78</v>
      </c>
      <c r="C69" s="142">
        <v>18839206.510000002</v>
      </c>
      <c r="D69" s="142"/>
      <c r="E69" s="142">
        <v>18839206.510000002</v>
      </c>
      <c r="F69" s="134">
        <v>-521385.36</v>
      </c>
      <c r="G69" s="142">
        <f>18839206.51+F69</f>
        <v>18317821.150000002</v>
      </c>
      <c r="H69" s="134"/>
      <c r="I69" s="142">
        <f>G69+H69</f>
        <v>18317821.150000002</v>
      </c>
      <c r="J69" s="134"/>
      <c r="K69" s="142">
        <f>I69+J69</f>
        <v>18317821.150000002</v>
      </c>
      <c r="L69" s="142">
        <v>18913761.379999999</v>
      </c>
      <c r="M69" s="134">
        <v>-1308353.24</v>
      </c>
      <c r="N69" s="142">
        <f>18913761.38+M69</f>
        <v>17605408.140000001</v>
      </c>
      <c r="O69" s="134"/>
      <c r="P69" s="142">
        <f>N69+O69</f>
        <v>17605408.140000001</v>
      </c>
      <c r="Q69" s="134"/>
      <c r="R69" s="142">
        <f>P69+Q69</f>
        <v>17605408.140000001</v>
      </c>
      <c r="S69" s="142">
        <v>18709460.149999999</v>
      </c>
      <c r="T69" s="134">
        <v>-1821953.35</v>
      </c>
      <c r="U69" s="142">
        <f>18709460.15+T69</f>
        <v>16887506.799999997</v>
      </c>
      <c r="V69" s="134"/>
      <c r="W69" s="142">
        <f>U69+V69</f>
        <v>16887506.799999997</v>
      </c>
      <c r="X69" s="134"/>
      <c r="Y69" s="142">
        <f>W69+X69</f>
        <v>16887506.799999997</v>
      </c>
      <c r="Z69" s="84"/>
      <c r="AA69" s="84"/>
    </row>
    <row r="70" spans="1:27" s="17" customFormat="1" ht="54" customHeight="1">
      <c r="A70" s="163" t="s">
        <v>142</v>
      </c>
      <c r="B70" s="168" t="s">
        <v>141</v>
      </c>
      <c r="C70" s="142"/>
      <c r="D70" s="142"/>
      <c r="E70" s="142"/>
      <c r="F70" s="134">
        <v>1209409</v>
      </c>
      <c r="G70" s="142">
        <f>F70</f>
        <v>1209409</v>
      </c>
      <c r="H70" s="134"/>
      <c r="I70" s="142">
        <f t="shared" ref="I70:I83" si="20">G70+H70</f>
        <v>1209409</v>
      </c>
      <c r="J70" s="134"/>
      <c r="K70" s="142">
        <f t="shared" ref="K70:K87" si="21">I70+J70</f>
        <v>1209409</v>
      </c>
      <c r="L70" s="142"/>
      <c r="M70" s="134"/>
      <c r="N70" s="142"/>
      <c r="O70" s="134"/>
      <c r="P70" s="142">
        <f t="shared" ref="P70:P82" si="22">N70+O70</f>
        <v>0</v>
      </c>
      <c r="Q70" s="134"/>
      <c r="R70" s="142">
        <f t="shared" ref="R70" si="23">P70+Q70</f>
        <v>0</v>
      </c>
      <c r="S70" s="142"/>
      <c r="T70" s="134"/>
      <c r="U70" s="142"/>
      <c r="V70" s="134"/>
      <c r="W70" s="142">
        <f t="shared" ref="W70:W82" si="24">U70+V70</f>
        <v>0</v>
      </c>
      <c r="X70" s="134"/>
      <c r="Y70" s="142">
        <f t="shared" ref="Y70" si="25">W70+X70</f>
        <v>0</v>
      </c>
      <c r="Z70" s="84"/>
      <c r="AA70" s="84"/>
    </row>
    <row r="71" spans="1:27" s="17" customFormat="1" ht="39" customHeight="1">
      <c r="A71" s="163" t="s">
        <v>157</v>
      </c>
      <c r="B71" s="168" t="s">
        <v>156</v>
      </c>
      <c r="C71" s="142"/>
      <c r="D71" s="142"/>
      <c r="E71" s="142"/>
      <c r="F71" s="134"/>
      <c r="G71" s="142"/>
      <c r="H71" s="134">
        <v>7386116.2000000002</v>
      </c>
      <c r="I71" s="142">
        <f t="shared" si="20"/>
        <v>7386116.2000000002</v>
      </c>
      <c r="J71" s="134">
        <v>1191309.07</v>
      </c>
      <c r="K71" s="142">
        <f t="shared" si="21"/>
        <v>8577425.2699999996</v>
      </c>
      <c r="L71" s="142"/>
      <c r="M71" s="134"/>
      <c r="N71" s="142"/>
      <c r="O71" s="134"/>
      <c r="P71" s="142"/>
      <c r="Q71" s="134"/>
      <c r="R71" s="142"/>
      <c r="S71" s="142"/>
      <c r="T71" s="134"/>
      <c r="U71" s="142"/>
      <c r="V71" s="134"/>
      <c r="W71" s="142"/>
      <c r="X71" s="134"/>
      <c r="Y71" s="142"/>
      <c r="Z71" s="84"/>
      <c r="AA71" s="84"/>
    </row>
    <row r="72" spans="1:27" s="17" customFormat="1" ht="66">
      <c r="A72" s="163" t="s">
        <v>79</v>
      </c>
      <c r="B72" s="205" t="s">
        <v>124</v>
      </c>
      <c r="C72" s="142">
        <v>383180.16</v>
      </c>
      <c r="D72" s="142"/>
      <c r="E72" s="142">
        <v>383180.16</v>
      </c>
      <c r="F72" s="134">
        <v>-58481.75</v>
      </c>
      <c r="G72" s="142">
        <f>383180.16+F72</f>
        <v>324698.40999999997</v>
      </c>
      <c r="H72" s="134"/>
      <c r="I72" s="142">
        <f t="shared" si="20"/>
        <v>324698.40999999997</v>
      </c>
      <c r="J72" s="134"/>
      <c r="K72" s="142">
        <f t="shared" si="21"/>
        <v>324698.40999999997</v>
      </c>
      <c r="L72" s="142">
        <v>383627.2</v>
      </c>
      <c r="M72" s="134">
        <v>-58516.45</v>
      </c>
      <c r="N72" s="142">
        <f>383627.2+M72</f>
        <v>325110.75</v>
      </c>
      <c r="O72" s="134"/>
      <c r="P72" s="142">
        <f t="shared" si="22"/>
        <v>325110.75</v>
      </c>
      <c r="Q72" s="134"/>
      <c r="R72" s="142">
        <f t="shared" ref="R72" si="26">P72+Q72</f>
        <v>325110.75</v>
      </c>
      <c r="S72" s="142">
        <v>359641.91</v>
      </c>
      <c r="T72" s="134">
        <v>-26042.799999999999</v>
      </c>
      <c r="U72" s="142">
        <f>359641.91+T72</f>
        <v>333599.11</v>
      </c>
      <c r="V72" s="134"/>
      <c r="W72" s="142">
        <f t="shared" si="24"/>
        <v>333599.11</v>
      </c>
      <c r="X72" s="134"/>
      <c r="Y72" s="142">
        <f t="shared" ref="Y72" si="27">W72+X72</f>
        <v>333599.11</v>
      </c>
      <c r="Z72" s="84"/>
      <c r="AA72" s="84"/>
    </row>
    <row r="73" spans="1:27" s="17" customFormat="1" ht="52.95" customHeight="1">
      <c r="A73" s="163" t="s">
        <v>158</v>
      </c>
      <c r="B73" s="205" t="s">
        <v>159</v>
      </c>
      <c r="C73" s="142"/>
      <c r="D73" s="142"/>
      <c r="E73" s="142"/>
      <c r="F73" s="134"/>
      <c r="G73" s="142"/>
      <c r="H73" s="134">
        <v>13988094.119999999</v>
      </c>
      <c r="I73" s="142">
        <f t="shared" si="20"/>
        <v>13988094.119999999</v>
      </c>
      <c r="J73" s="134"/>
      <c r="K73" s="142">
        <f t="shared" si="21"/>
        <v>13988094.119999999</v>
      </c>
      <c r="L73" s="142"/>
      <c r="M73" s="134"/>
      <c r="N73" s="142"/>
      <c r="O73" s="134"/>
      <c r="P73" s="142"/>
      <c r="Q73" s="134"/>
      <c r="R73" s="142"/>
      <c r="S73" s="142"/>
      <c r="T73" s="134"/>
      <c r="U73" s="142"/>
      <c r="V73" s="134"/>
      <c r="W73" s="142"/>
      <c r="X73" s="134"/>
      <c r="Y73" s="142"/>
      <c r="Z73" s="84"/>
      <c r="AA73" s="84"/>
    </row>
    <row r="74" spans="1:27" s="17" customFormat="1" ht="54.75" customHeight="1">
      <c r="A74" s="163" t="s">
        <v>80</v>
      </c>
      <c r="B74" s="168" t="s">
        <v>147</v>
      </c>
      <c r="C74" s="142">
        <v>307166640</v>
      </c>
      <c r="D74" s="142"/>
      <c r="E74" s="142">
        <v>307166640</v>
      </c>
      <c r="F74" s="134"/>
      <c r="G74" s="142">
        <f>307166640</f>
        <v>307166640</v>
      </c>
      <c r="H74" s="134"/>
      <c r="I74" s="142">
        <f t="shared" si="20"/>
        <v>307166640</v>
      </c>
      <c r="J74" s="134"/>
      <c r="K74" s="142">
        <f t="shared" si="21"/>
        <v>307166640</v>
      </c>
      <c r="L74" s="142">
        <v>318999400</v>
      </c>
      <c r="M74" s="134"/>
      <c r="N74" s="142">
        <v>318999400</v>
      </c>
      <c r="O74" s="134"/>
      <c r="P74" s="142">
        <f t="shared" si="22"/>
        <v>318999400</v>
      </c>
      <c r="Q74" s="134"/>
      <c r="R74" s="142">
        <f t="shared" ref="R74:R75" si="28">P74+Q74</f>
        <v>318999400</v>
      </c>
      <c r="S74" s="142">
        <v>335057530</v>
      </c>
      <c r="T74" s="134"/>
      <c r="U74" s="142">
        <v>335057530</v>
      </c>
      <c r="V74" s="134"/>
      <c r="W74" s="142">
        <f t="shared" si="24"/>
        <v>335057530</v>
      </c>
      <c r="X74" s="134"/>
      <c r="Y74" s="142">
        <f t="shared" ref="Y74:Y75" si="29">W74+X74</f>
        <v>335057530</v>
      </c>
      <c r="Z74" s="84"/>
      <c r="AA74" s="84"/>
    </row>
    <row r="75" spans="1:27" s="17" customFormat="1" ht="48.75" customHeight="1">
      <c r="A75" s="163" t="s">
        <v>138</v>
      </c>
      <c r="B75" s="168" t="s">
        <v>81</v>
      </c>
      <c r="C75" s="142"/>
      <c r="D75" s="142"/>
      <c r="E75" s="142">
        <v>0</v>
      </c>
      <c r="F75" s="134">
        <v>2722317.84</v>
      </c>
      <c r="G75" s="142">
        <f>E75+F75</f>
        <v>2722317.84</v>
      </c>
      <c r="H75" s="134"/>
      <c r="I75" s="142">
        <f t="shared" si="20"/>
        <v>2722317.84</v>
      </c>
      <c r="J75" s="134"/>
      <c r="K75" s="142">
        <f t="shared" si="21"/>
        <v>2722317.84</v>
      </c>
      <c r="L75" s="142"/>
      <c r="M75" s="134"/>
      <c r="N75" s="142"/>
      <c r="O75" s="134"/>
      <c r="P75" s="142">
        <f t="shared" si="22"/>
        <v>0</v>
      </c>
      <c r="Q75" s="134"/>
      <c r="R75" s="142">
        <f t="shared" si="28"/>
        <v>0</v>
      </c>
      <c r="S75" s="142"/>
      <c r="T75" s="134"/>
      <c r="U75" s="142"/>
      <c r="V75" s="134"/>
      <c r="W75" s="142">
        <f t="shared" si="24"/>
        <v>0</v>
      </c>
      <c r="X75" s="134"/>
      <c r="Y75" s="142">
        <f t="shared" si="29"/>
        <v>0</v>
      </c>
      <c r="Z75" s="84"/>
      <c r="AA75" s="84"/>
    </row>
    <row r="76" spans="1:27" s="17" customFormat="1" ht="38.25" customHeight="1">
      <c r="A76" s="163" t="s">
        <v>160</v>
      </c>
      <c r="B76" s="168" t="s">
        <v>81</v>
      </c>
      <c r="C76" s="142"/>
      <c r="D76" s="142"/>
      <c r="E76" s="142"/>
      <c r="F76" s="134"/>
      <c r="G76" s="142"/>
      <c r="H76" s="134">
        <v>2951891.02</v>
      </c>
      <c r="I76" s="142">
        <f t="shared" si="20"/>
        <v>2951891.02</v>
      </c>
      <c r="J76" s="134"/>
      <c r="K76" s="142">
        <f t="shared" si="21"/>
        <v>2951891.02</v>
      </c>
      <c r="L76" s="142"/>
      <c r="M76" s="134"/>
      <c r="N76" s="142"/>
      <c r="O76" s="134"/>
      <c r="P76" s="142"/>
      <c r="Q76" s="134"/>
      <c r="R76" s="142"/>
      <c r="S76" s="142"/>
      <c r="T76" s="134"/>
      <c r="U76" s="142"/>
      <c r="V76" s="134"/>
      <c r="W76" s="142"/>
      <c r="X76" s="134"/>
      <c r="Y76" s="142"/>
      <c r="Z76" s="84"/>
      <c r="AA76" s="84"/>
    </row>
    <row r="77" spans="1:27" s="17" customFormat="1" ht="52.8">
      <c r="A77" s="163" t="s">
        <v>82</v>
      </c>
      <c r="B77" s="205" t="s">
        <v>83</v>
      </c>
      <c r="C77" s="142">
        <v>230136.95999999999</v>
      </c>
      <c r="D77" s="142"/>
      <c r="E77" s="142">
        <v>230136.95999999999</v>
      </c>
      <c r="F77" s="134">
        <v>-2597.48</v>
      </c>
      <c r="G77" s="142">
        <f>230136.96+F77</f>
        <v>227539.47999999998</v>
      </c>
      <c r="H77" s="134"/>
      <c r="I77" s="142">
        <f t="shared" si="20"/>
        <v>227539.47999999998</v>
      </c>
      <c r="J77" s="134"/>
      <c r="K77" s="142">
        <f t="shared" si="21"/>
        <v>227539.47999999998</v>
      </c>
      <c r="L77" s="142">
        <v>230136.95999999999</v>
      </c>
      <c r="M77" s="134">
        <v>-2597.48</v>
      </c>
      <c r="N77" s="142">
        <f>230136.96+M77</f>
        <v>227539.47999999998</v>
      </c>
      <c r="O77" s="134"/>
      <c r="P77" s="142">
        <f t="shared" si="22"/>
        <v>227539.47999999998</v>
      </c>
      <c r="Q77" s="134"/>
      <c r="R77" s="142">
        <f t="shared" ref="R77:R86" si="30">P77+Q77</f>
        <v>227539.47999999998</v>
      </c>
      <c r="S77" s="142">
        <v>230136.95999999999</v>
      </c>
      <c r="T77" s="134">
        <v>-2597.48</v>
      </c>
      <c r="U77" s="142">
        <f>230136.96+T77</f>
        <v>227539.47999999998</v>
      </c>
      <c r="V77" s="134"/>
      <c r="W77" s="142">
        <f t="shared" si="24"/>
        <v>227539.47999999998</v>
      </c>
      <c r="X77" s="134"/>
      <c r="Y77" s="142">
        <f t="shared" ref="Y77:Y86" si="31">W77+X77</f>
        <v>227539.47999999998</v>
      </c>
      <c r="Z77" s="84"/>
      <c r="AA77" s="84"/>
    </row>
    <row r="78" spans="1:27" s="17" customFormat="1" ht="39.6">
      <c r="A78" s="163" t="s">
        <v>136</v>
      </c>
      <c r="B78" s="205" t="s">
        <v>83</v>
      </c>
      <c r="C78" s="142">
        <v>1050000</v>
      </c>
      <c r="D78" s="142"/>
      <c r="E78" s="142">
        <v>1050000</v>
      </c>
      <c r="F78" s="134"/>
      <c r="G78" s="142">
        <v>1050000</v>
      </c>
      <c r="H78" s="134"/>
      <c r="I78" s="142">
        <f t="shared" si="20"/>
        <v>1050000</v>
      </c>
      <c r="J78" s="134"/>
      <c r="K78" s="142">
        <f t="shared" si="21"/>
        <v>1050000</v>
      </c>
      <c r="L78" s="142">
        <v>945000</v>
      </c>
      <c r="M78" s="134"/>
      <c r="N78" s="142">
        <v>945000</v>
      </c>
      <c r="O78" s="134"/>
      <c r="P78" s="142">
        <f t="shared" si="22"/>
        <v>945000</v>
      </c>
      <c r="Q78" s="134"/>
      <c r="R78" s="142">
        <f t="shared" si="30"/>
        <v>945000</v>
      </c>
      <c r="S78" s="142">
        <v>945000</v>
      </c>
      <c r="T78" s="134"/>
      <c r="U78" s="142">
        <v>945000</v>
      </c>
      <c r="V78" s="134"/>
      <c r="W78" s="142">
        <f t="shared" si="24"/>
        <v>945000</v>
      </c>
      <c r="X78" s="134"/>
      <c r="Y78" s="142">
        <f t="shared" si="31"/>
        <v>945000</v>
      </c>
      <c r="Z78" s="84"/>
      <c r="AA78" s="84"/>
    </row>
    <row r="79" spans="1:27" s="17" customFormat="1" ht="66">
      <c r="A79" s="163" t="s">
        <v>85</v>
      </c>
      <c r="B79" s="168" t="s">
        <v>83</v>
      </c>
      <c r="C79" s="142">
        <v>245775.75</v>
      </c>
      <c r="D79" s="142"/>
      <c r="E79" s="142">
        <v>245775.75</v>
      </c>
      <c r="F79" s="134"/>
      <c r="G79" s="142">
        <v>245775.75</v>
      </c>
      <c r="H79" s="134"/>
      <c r="I79" s="142">
        <f t="shared" si="20"/>
        <v>245775.75</v>
      </c>
      <c r="J79" s="134"/>
      <c r="K79" s="142">
        <f t="shared" si="21"/>
        <v>245775.75</v>
      </c>
      <c r="L79" s="142">
        <v>255612.36</v>
      </c>
      <c r="M79" s="134"/>
      <c r="N79" s="142">
        <v>255612.36</v>
      </c>
      <c r="O79" s="134"/>
      <c r="P79" s="142">
        <f t="shared" si="22"/>
        <v>255612.36</v>
      </c>
      <c r="Q79" s="134"/>
      <c r="R79" s="142">
        <f t="shared" si="30"/>
        <v>255612.36</v>
      </c>
      <c r="S79" s="142">
        <v>265797.78999999998</v>
      </c>
      <c r="T79" s="134"/>
      <c r="U79" s="142">
        <v>265797.78999999998</v>
      </c>
      <c r="V79" s="134"/>
      <c r="W79" s="142">
        <f t="shared" si="24"/>
        <v>265797.78999999998</v>
      </c>
      <c r="X79" s="134"/>
      <c r="Y79" s="142">
        <f t="shared" si="31"/>
        <v>265797.78999999998</v>
      </c>
      <c r="Z79" s="84"/>
      <c r="AA79" s="84"/>
    </row>
    <row r="80" spans="1:27" s="17" customFormat="1" ht="74.25" customHeight="1">
      <c r="A80" s="163" t="s">
        <v>122</v>
      </c>
      <c r="B80" s="168" t="s">
        <v>83</v>
      </c>
      <c r="C80" s="142">
        <v>3545360.6</v>
      </c>
      <c r="D80" s="142"/>
      <c r="E80" s="142">
        <v>3545360.6</v>
      </c>
      <c r="F80" s="134">
        <v>-173300.6</v>
      </c>
      <c r="G80" s="142">
        <f>3545360.6+F80</f>
        <v>3372060</v>
      </c>
      <c r="H80" s="134"/>
      <c r="I80" s="142">
        <f t="shared" si="20"/>
        <v>3372060</v>
      </c>
      <c r="J80" s="134">
        <v>-3372060</v>
      </c>
      <c r="K80" s="142">
        <f t="shared" si="21"/>
        <v>0</v>
      </c>
      <c r="L80" s="142">
        <v>0</v>
      </c>
      <c r="M80" s="134"/>
      <c r="N80" s="142">
        <v>0</v>
      </c>
      <c r="O80" s="134"/>
      <c r="P80" s="142">
        <f t="shared" si="22"/>
        <v>0</v>
      </c>
      <c r="Q80" s="134"/>
      <c r="R80" s="142">
        <f t="shared" si="30"/>
        <v>0</v>
      </c>
      <c r="S80" s="142">
        <v>0</v>
      </c>
      <c r="T80" s="134"/>
      <c r="U80" s="142">
        <v>0</v>
      </c>
      <c r="V80" s="134"/>
      <c r="W80" s="142">
        <f t="shared" si="24"/>
        <v>0</v>
      </c>
      <c r="X80" s="134"/>
      <c r="Y80" s="142">
        <f t="shared" si="31"/>
        <v>0</v>
      </c>
      <c r="Z80" s="84"/>
      <c r="AA80" s="84"/>
    </row>
    <row r="81" spans="1:27" s="17" customFormat="1" ht="39" customHeight="1">
      <c r="A81" s="163" t="s">
        <v>144</v>
      </c>
      <c r="B81" s="168" t="s">
        <v>83</v>
      </c>
      <c r="C81" s="142"/>
      <c r="D81" s="142"/>
      <c r="E81" s="142"/>
      <c r="F81" s="134">
        <v>515140</v>
      </c>
      <c r="G81" s="142">
        <f>F81</f>
        <v>515140</v>
      </c>
      <c r="H81" s="134"/>
      <c r="I81" s="142">
        <f t="shared" si="20"/>
        <v>515140</v>
      </c>
      <c r="J81" s="134"/>
      <c r="K81" s="142">
        <f t="shared" si="21"/>
        <v>515140</v>
      </c>
      <c r="L81" s="142"/>
      <c r="M81" s="134"/>
      <c r="N81" s="142">
        <v>0</v>
      </c>
      <c r="O81" s="134"/>
      <c r="P81" s="142">
        <f t="shared" si="22"/>
        <v>0</v>
      </c>
      <c r="Q81" s="134"/>
      <c r="R81" s="142">
        <f t="shared" si="30"/>
        <v>0</v>
      </c>
      <c r="S81" s="142"/>
      <c r="T81" s="134"/>
      <c r="U81" s="142"/>
      <c r="V81" s="134"/>
      <c r="W81" s="142">
        <f t="shared" si="24"/>
        <v>0</v>
      </c>
      <c r="X81" s="134"/>
      <c r="Y81" s="142">
        <f t="shared" si="31"/>
        <v>0</v>
      </c>
      <c r="Z81" s="84"/>
      <c r="AA81" s="84"/>
    </row>
    <row r="82" spans="1:27" s="17" customFormat="1" ht="39" customHeight="1">
      <c r="A82" s="163" t="s">
        <v>143</v>
      </c>
      <c r="B82" s="168" t="s">
        <v>83</v>
      </c>
      <c r="C82" s="142"/>
      <c r="D82" s="142"/>
      <c r="E82" s="142"/>
      <c r="F82" s="134">
        <v>780556</v>
      </c>
      <c r="G82" s="142">
        <f>F82</f>
        <v>780556</v>
      </c>
      <c r="H82" s="134"/>
      <c r="I82" s="142">
        <f t="shared" si="20"/>
        <v>780556</v>
      </c>
      <c r="J82" s="134">
        <v>-780556</v>
      </c>
      <c r="K82" s="142">
        <f t="shared" si="21"/>
        <v>0</v>
      </c>
      <c r="L82" s="142"/>
      <c r="M82" s="134">
        <v>780556</v>
      </c>
      <c r="N82" s="142">
        <f>M82</f>
        <v>780556</v>
      </c>
      <c r="O82" s="134"/>
      <c r="P82" s="142">
        <f t="shared" si="22"/>
        <v>780556</v>
      </c>
      <c r="Q82" s="134"/>
      <c r="R82" s="142">
        <f t="shared" si="30"/>
        <v>780556</v>
      </c>
      <c r="S82" s="142"/>
      <c r="T82" s="134">
        <v>780556</v>
      </c>
      <c r="U82" s="142">
        <f>T82</f>
        <v>780556</v>
      </c>
      <c r="V82" s="134"/>
      <c r="W82" s="142">
        <f t="shared" si="24"/>
        <v>780556</v>
      </c>
      <c r="X82" s="134"/>
      <c r="Y82" s="142">
        <f t="shared" si="31"/>
        <v>780556</v>
      </c>
      <c r="Z82" s="84"/>
      <c r="AA82" s="84"/>
    </row>
    <row r="83" spans="1:27" s="17" customFormat="1" ht="39" customHeight="1">
      <c r="A83" s="163" t="s">
        <v>163</v>
      </c>
      <c r="B83" s="168" t="s">
        <v>83</v>
      </c>
      <c r="C83" s="142"/>
      <c r="D83" s="142"/>
      <c r="E83" s="142"/>
      <c r="F83" s="134"/>
      <c r="G83" s="142"/>
      <c r="H83" s="134">
        <v>3612000</v>
      </c>
      <c r="I83" s="142">
        <f t="shared" si="20"/>
        <v>3612000</v>
      </c>
      <c r="J83" s="134"/>
      <c r="K83" s="142">
        <f t="shared" si="21"/>
        <v>3612000</v>
      </c>
      <c r="L83" s="142"/>
      <c r="M83" s="134"/>
      <c r="N83" s="142"/>
      <c r="O83" s="134"/>
      <c r="P83" s="142"/>
      <c r="Q83" s="134"/>
      <c r="R83" s="142">
        <f t="shared" si="30"/>
        <v>0</v>
      </c>
      <c r="S83" s="142"/>
      <c r="T83" s="134"/>
      <c r="U83" s="142"/>
      <c r="V83" s="134"/>
      <c r="W83" s="142"/>
      <c r="X83" s="134"/>
      <c r="Y83" s="142">
        <f t="shared" si="31"/>
        <v>0</v>
      </c>
      <c r="Z83" s="84"/>
      <c r="AA83" s="84"/>
    </row>
    <row r="84" spans="1:27" s="17" customFormat="1" ht="39" customHeight="1">
      <c r="A84" s="163" t="s">
        <v>166</v>
      </c>
      <c r="B84" s="168" t="s">
        <v>83</v>
      </c>
      <c r="C84" s="142"/>
      <c r="D84" s="142"/>
      <c r="E84" s="142"/>
      <c r="F84" s="134"/>
      <c r="G84" s="142"/>
      <c r="H84" s="134"/>
      <c r="I84" s="142"/>
      <c r="J84" s="134">
        <v>64366.400000000001</v>
      </c>
      <c r="K84" s="142">
        <f t="shared" si="21"/>
        <v>64366.400000000001</v>
      </c>
      <c r="L84" s="142"/>
      <c r="M84" s="134"/>
      <c r="N84" s="142"/>
      <c r="O84" s="134"/>
      <c r="P84" s="142"/>
      <c r="Q84" s="134">
        <v>49523.58</v>
      </c>
      <c r="R84" s="142">
        <f t="shared" si="30"/>
        <v>49523.58</v>
      </c>
      <c r="S84" s="142"/>
      <c r="T84" s="134"/>
      <c r="U84" s="142"/>
      <c r="V84" s="134"/>
      <c r="W84" s="142"/>
      <c r="X84" s="134">
        <v>49523.58</v>
      </c>
      <c r="Y84" s="142">
        <f t="shared" si="31"/>
        <v>49523.58</v>
      </c>
      <c r="Z84" s="84"/>
      <c r="AA84" s="84"/>
    </row>
    <row r="85" spans="1:27" s="17" customFormat="1" ht="45.6" customHeight="1">
      <c r="A85" s="163" t="s">
        <v>167</v>
      </c>
      <c r="B85" s="168" t="s">
        <v>83</v>
      </c>
      <c r="C85" s="142"/>
      <c r="D85" s="142"/>
      <c r="E85" s="142"/>
      <c r="F85" s="134"/>
      <c r="G85" s="142"/>
      <c r="H85" s="134"/>
      <c r="I85" s="142"/>
      <c r="J85" s="134">
        <v>516090</v>
      </c>
      <c r="K85" s="142">
        <f t="shared" si="21"/>
        <v>516090</v>
      </c>
      <c r="L85" s="142"/>
      <c r="M85" s="134"/>
      <c r="N85" s="142"/>
      <c r="O85" s="134"/>
      <c r="P85" s="142"/>
      <c r="Q85" s="134"/>
      <c r="R85" s="142">
        <f t="shared" si="30"/>
        <v>0</v>
      </c>
      <c r="S85" s="142"/>
      <c r="T85" s="134"/>
      <c r="U85" s="142"/>
      <c r="V85" s="134"/>
      <c r="W85" s="142"/>
      <c r="X85" s="134"/>
      <c r="Y85" s="142">
        <f t="shared" si="31"/>
        <v>0</v>
      </c>
      <c r="Z85" s="84"/>
      <c r="AA85" s="84"/>
    </row>
    <row r="86" spans="1:27" s="17" customFormat="1" ht="55.8" customHeight="1">
      <c r="A86" s="163" t="s">
        <v>170</v>
      </c>
      <c r="B86" s="168" t="s">
        <v>83</v>
      </c>
      <c r="C86" s="142"/>
      <c r="D86" s="142"/>
      <c r="E86" s="142"/>
      <c r="F86" s="134"/>
      <c r="G86" s="142"/>
      <c r="H86" s="134"/>
      <c r="I86" s="142"/>
      <c r="J86" s="134">
        <v>2827228</v>
      </c>
      <c r="K86" s="142">
        <f t="shared" si="21"/>
        <v>2827228</v>
      </c>
      <c r="L86" s="142"/>
      <c r="M86" s="134"/>
      <c r="N86" s="142"/>
      <c r="O86" s="134"/>
      <c r="P86" s="142"/>
      <c r="Q86" s="134">
        <v>2827228</v>
      </c>
      <c r="R86" s="142">
        <f t="shared" si="30"/>
        <v>2827228</v>
      </c>
      <c r="S86" s="142"/>
      <c r="T86" s="134"/>
      <c r="U86" s="142"/>
      <c r="V86" s="134"/>
      <c r="W86" s="142"/>
      <c r="X86" s="134">
        <v>2827228</v>
      </c>
      <c r="Y86" s="142">
        <f t="shared" si="31"/>
        <v>2827228</v>
      </c>
      <c r="Z86" s="84"/>
      <c r="AA86" s="84"/>
    </row>
    <row r="87" spans="1:27" s="17" customFormat="1" ht="45" customHeight="1">
      <c r="A87" s="163" t="s">
        <v>174</v>
      </c>
      <c r="B87" s="168" t="s">
        <v>83</v>
      </c>
      <c r="C87" s="142"/>
      <c r="D87" s="142"/>
      <c r="E87" s="142"/>
      <c r="F87" s="134"/>
      <c r="G87" s="142"/>
      <c r="H87" s="134"/>
      <c r="I87" s="142"/>
      <c r="J87" s="134">
        <v>194000</v>
      </c>
      <c r="K87" s="142">
        <f t="shared" si="21"/>
        <v>194000</v>
      </c>
      <c r="L87" s="142"/>
      <c r="M87" s="134"/>
      <c r="N87" s="142"/>
      <c r="O87" s="134"/>
      <c r="P87" s="142"/>
      <c r="Q87" s="134"/>
      <c r="R87" s="142"/>
      <c r="S87" s="142"/>
      <c r="T87" s="134"/>
      <c r="U87" s="142"/>
      <c r="V87" s="134"/>
      <c r="W87" s="142"/>
      <c r="X87" s="134"/>
      <c r="Y87" s="142"/>
      <c r="Z87" s="84"/>
      <c r="AA87" s="84"/>
    </row>
    <row r="88" spans="1:27" ht="12" customHeight="1">
      <c r="A88" s="164"/>
      <c r="B88" s="204"/>
      <c r="C88" s="142"/>
      <c r="D88" s="142"/>
      <c r="E88" s="142"/>
      <c r="F88" s="134"/>
      <c r="G88" s="142"/>
      <c r="H88" s="134"/>
      <c r="I88" s="142"/>
      <c r="J88" s="134"/>
      <c r="K88" s="142"/>
      <c r="L88" s="142"/>
      <c r="M88" s="134"/>
      <c r="N88" s="142"/>
      <c r="O88" s="134"/>
      <c r="P88" s="142"/>
      <c r="Q88" s="134"/>
      <c r="R88" s="142"/>
      <c r="S88" s="142"/>
      <c r="T88" s="134"/>
      <c r="U88" s="142"/>
      <c r="V88" s="134"/>
      <c r="W88" s="142"/>
      <c r="X88" s="134"/>
      <c r="Y88" s="142"/>
    </row>
    <row r="89" spans="1:27" s="88" customFormat="1" ht="26.4">
      <c r="A89" s="162" t="s">
        <v>86</v>
      </c>
      <c r="B89" s="203" t="s">
        <v>87</v>
      </c>
      <c r="C89" s="134">
        <f>SUM(C90:C105)</f>
        <v>961293367.06000006</v>
      </c>
      <c r="D89" s="134"/>
      <c r="E89" s="134">
        <f>SUM(E90:E105)</f>
        <v>961293367.06000006</v>
      </c>
      <c r="F89" s="134">
        <f t="shared" ref="F89:U89" si="32">SUM(F90:F105)</f>
        <v>342050.42</v>
      </c>
      <c r="G89" s="134">
        <f t="shared" si="32"/>
        <v>961635417.48000002</v>
      </c>
      <c r="H89" s="134">
        <f t="shared" ref="H89:I89" si="33">SUM(H90:H105)</f>
        <v>-8216506</v>
      </c>
      <c r="I89" s="134">
        <f t="shared" si="33"/>
        <v>953418911.48000002</v>
      </c>
      <c r="J89" s="134">
        <f t="shared" ref="J89:K89" si="34">SUM(J90:J105)</f>
        <v>32156616.449999999</v>
      </c>
      <c r="K89" s="134">
        <f t="shared" si="34"/>
        <v>985575527.93000007</v>
      </c>
      <c r="L89" s="134">
        <f t="shared" si="32"/>
        <v>958033211.4000001</v>
      </c>
      <c r="M89" s="134">
        <f t="shared" si="32"/>
        <v>1759094.26</v>
      </c>
      <c r="N89" s="134">
        <f t="shared" si="32"/>
        <v>959792305.65999997</v>
      </c>
      <c r="O89" s="134">
        <f t="shared" ref="O89:P89" si="35">SUM(O90:O105)</f>
        <v>0</v>
      </c>
      <c r="P89" s="134">
        <f t="shared" si="35"/>
        <v>959792305.65999997</v>
      </c>
      <c r="Q89" s="134">
        <f t="shared" ref="Q89:R89" si="36">SUM(Q90:Q105)</f>
        <v>0</v>
      </c>
      <c r="R89" s="134">
        <f t="shared" si="36"/>
        <v>959792305.65999997</v>
      </c>
      <c r="S89" s="134">
        <f t="shared" si="32"/>
        <v>965171198.83000004</v>
      </c>
      <c r="T89" s="134">
        <f t="shared" si="32"/>
        <v>-775249.9600000002</v>
      </c>
      <c r="U89" s="134">
        <f t="shared" si="32"/>
        <v>964395948.87</v>
      </c>
      <c r="V89" s="134">
        <f t="shared" ref="V89:W89" si="37">SUM(V90:V105)</f>
        <v>0</v>
      </c>
      <c r="W89" s="134">
        <f t="shared" si="37"/>
        <v>964395948.87</v>
      </c>
      <c r="X89" s="134">
        <f t="shared" ref="X89:Y89" si="38">SUM(X90:X105)</f>
        <v>0</v>
      </c>
      <c r="Y89" s="134">
        <f t="shared" si="38"/>
        <v>964395948.87</v>
      </c>
      <c r="Z89" s="178"/>
      <c r="AA89" s="178"/>
    </row>
    <row r="90" spans="1:27" s="3" customFormat="1" ht="26.4">
      <c r="A90" s="163" t="s">
        <v>88</v>
      </c>
      <c r="B90" s="205" t="s">
        <v>89</v>
      </c>
      <c r="C90" s="142">
        <v>451206.49</v>
      </c>
      <c r="D90" s="142"/>
      <c r="E90" s="142">
        <v>451206.49</v>
      </c>
      <c r="F90" s="134"/>
      <c r="G90" s="142">
        <v>451206.49</v>
      </c>
      <c r="H90" s="134"/>
      <c r="I90" s="142">
        <f>G90+H90</f>
        <v>451206.49</v>
      </c>
      <c r="J90" s="134"/>
      <c r="K90" s="142">
        <f>I90+J90</f>
        <v>451206.49</v>
      </c>
      <c r="L90" s="142">
        <v>455268.55</v>
      </c>
      <c r="M90" s="134"/>
      <c r="N90" s="142">
        <v>455268.55</v>
      </c>
      <c r="O90" s="134"/>
      <c r="P90" s="142">
        <f>N90+O90</f>
        <v>455268.55</v>
      </c>
      <c r="Q90" s="134"/>
      <c r="R90" s="142">
        <f>P90+Q90</f>
        <v>455268.55</v>
      </c>
      <c r="S90" s="142">
        <v>471679.29</v>
      </c>
      <c r="T90" s="134"/>
      <c r="U90" s="142">
        <v>471679.29</v>
      </c>
      <c r="V90" s="134"/>
      <c r="W90" s="142">
        <f>U90+V90</f>
        <v>471679.29</v>
      </c>
      <c r="X90" s="134"/>
      <c r="Y90" s="142">
        <f>W90+X90</f>
        <v>471679.29</v>
      </c>
      <c r="Z90" s="84"/>
      <c r="AA90" s="84"/>
    </row>
    <row r="91" spans="1:27" s="3" customFormat="1" ht="62.25" customHeight="1">
      <c r="A91" s="163" t="s">
        <v>90</v>
      </c>
      <c r="B91" s="168" t="s">
        <v>89</v>
      </c>
      <c r="C91" s="142">
        <v>14000</v>
      </c>
      <c r="D91" s="142"/>
      <c r="E91" s="142">
        <v>14000</v>
      </c>
      <c r="F91" s="134"/>
      <c r="G91" s="142">
        <v>14000</v>
      </c>
      <c r="H91" s="134"/>
      <c r="I91" s="142">
        <f t="shared" ref="I91:I104" si="39">G91+H91</f>
        <v>14000</v>
      </c>
      <c r="J91" s="134"/>
      <c r="K91" s="142">
        <f t="shared" ref="K91:K104" si="40">I91+J91</f>
        <v>14000</v>
      </c>
      <c r="L91" s="142">
        <v>14000</v>
      </c>
      <c r="M91" s="134"/>
      <c r="N91" s="142">
        <v>14000</v>
      </c>
      <c r="O91" s="134"/>
      <c r="P91" s="142">
        <f t="shared" ref="P91:P104" si="41">N91+O91</f>
        <v>14000</v>
      </c>
      <c r="Q91" s="134"/>
      <c r="R91" s="142">
        <f t="shared" ref="R91:R104" si="42">P91+Q91</f>
        <v>14000</v>
      </c>
      <c r="S91" s="142">
        <v>14000</v>
      </c>
      <c r="T91" s="134"/>
      <c r="U91" s="142">
        <v>14000</v>
      </c>
      <c r="V91" s="134"/>
      <c r="W91" s="142">
        <f t="shared" ref="W91:W104" si="43">U91+V91</f>
        <v>14000</v>
      </c>
      <c r="X91" s="134"/>
      <c r="Y91" s="142">
        <f t="shared" ref="Y91:Y104" si="44">W91+X91</f>
        <v>14000</v>
      </c>
      <c r="Z91" s="84"/>
      <c r="AA91" s="84"/>
    </row>
    <row r="92" spans="1:27" s="3" customFormat="1" ht="26.4">
      <c r="A92" s="163" t="s">
        <v>91</v>
      </c>
      <c r="B92" s="168" t="s">
        <v>89</v>
      </c>
      <c r="C92" s="142">
        <v>35000</v>
      </c>
      <c r="D92" s="142"/>
      <c r="E92" s="142">
        <v>35000</v>
      </c>
      <c r="F92" s="134"/>
      <c r="G92" s="142">
        <v>35000</v>
      </c>
      <c r="H92" s="134"/>
      <c r="I92" s="142">
        <f t="shared" si="39"/>
        <v>35000</v>
      </c>
      <c r="J92" s="134"/>
      <c r="K92" s="142">
        <f t="shared" si="40"/>
        <v>35000</v>
      </c>
      <c r="L92" s="142">
        <v>35000</v>
      </c>
      <c r="M92" s="134"/>
      <c r="N92" s="142">
        <v>35000</v>
      </c>
      <c r="O92" s="134"/>
      <c r="P92" s="142">
        <f t="shared" si="41"/>
        <v>35000</v>
      </c>
      <c r="Q92" s="134"/>
      <c r="R92" s="142">
        <f t="shared" si="42"/>
        <v>35000</v>
      </c>
      <c r="S92" s="142">
        <v>35000</v>
      </c>
      <c r="T92" s="134"/>
      <c r="U92" s="142">
        <v>35000</v>
      </c>
      <c r="V92" s="134"/>
      <c r="W92" s="142">
        <f t="shared" si="43"/>
        <v>35000</v>
      </c>
      <c r="X92" s="134"/>
      <c r="Y92" s="142">
        <f t="shared" si="44"/>
        <v>35000</v>
      </c>
      <c r="Z92" s="84"/>
      <c r="AA92" s="84"/>
    </row>
    <row r="93" spans="1:27" s="3" customFormat="1" ht="66">
      <c r="A93" s="163" t="s">
        <v>92</v>
      </c>
      <c r="B93" s="168" t="s">
        <v>89</v>
      </c>
      <c r="C93" s="142">
        <v>4663289.97</v>
      </c>
      <c r="D93" s="142"/>
      <c r="E93" s="142">
        <v>4663289.97</v>
      </c>
      <c r="F93" s="134"/>
      <c r="G93" s="142">
        <v>4663289.97</v>
      </c>
      <c r="H93" s="134"/>
      <c r="I93" s="142">
        <f t="shared" si="39"/>
        <v>4663289.97</v>
      </c>
      <c r="J93" s="134">
        <v>197558.45</v>
      </c>
      <c r="K93" s="142">
        <f t="shared" si="40"/>
        <v>4860848.42</v>
      </c>
      <c r="L93" s="142">
        <v>4849832.93</v>
      </c>
      <c r="M93" s="134"/>
      <c r="N93" s="142">
        <v>4849832.93</v>
      </c>
      <c r="O93" s="134"/>
      <c r="P93" s="142">
        <f t="shared" si="41"/>
        <v>4849832.93</v>
      </c>
      <c r="Q93" s="134"/>
      <c r="R93" s="142">
        <f t="shared" si="42"/>
        <v>4849832.93</v>
      </c>
      <c r="S93" s="142">
        <v>5043758.0999999996</v>
      </c>
      <c r="T93" s="134"/>
      <c r="U93" s="142">
        <v>5043758.0999999996</v>
      </c>
      <c r="V93" s="134"/>
      <c r="W93" s="142">
        <f t="shared" si="43"/>
        <v>5043758.0999999996</v>
      </c>
      <c r="X93" s="134"/>
      <c r="Y93" s="142">
        <f t="shared" si="44"/>
        <v>5043758.0999999996</v>
      </c>
      <c r="Z93" s="84"/>
      <c r="AA93" s="84"/>
    </row>
    <row r="94" spans="1:27" s="3" customFormat="1" ht="79.2">
      <c r="A94" s="163" t="s">
        <v>93</v>
      </c>
      <c r="B94" s="168" t="s">
        <v>89</v>
      </c>
      <c r="C94" s="142">
        <v>56017990.280000001</v>
      </c>
      <c r="D94" s="142"/>
      <c r="E94" s="142">
        <v>56017990.280000001</v>
      </c>
      <c r="F94" s="134"/>
      <c r="G94" s="142">
        <v>56017990.280000001</v>
      </c>
      <c r="H94" s="134"/>
      <c r="I94" s="142">
        <f t="shared" si="39"/>
        <v>56017990.280000001</v>
      </c>
      <c r="J94" s="134"/>
      <c r="K94" s="142">
        <f t="shared" si="40"/>
        <v>56017990.280000001</v>
      </c>
      <c r="L94" s="142">
        <v>59023646.920000002</v>
      </c>
      <c r="M94" s="134"/>
      <c r="N94" s="142">
        <v>59023646.920000002</v>
      </c>
      <c r="O94" s="134"/>
      <c r="P94" s="142">
        <f t="shared" si="41"/>
        <v>59023646.920000002</v>
      </c>
      <c r="Q94" s="134"/>
      <c r="R94" s="142">
        <f t="shared" si="42"/>
        <v>59023646.920000002</v>
      </c>
      <c r="S94" s="142">
        <v>59023620.75</v>
      </c>
      <c r="T94" s="134"/>
      <c r="U94" s="142">
        <v>59023620.75</v>
      </c>
      <c r="V94" s="134"/>
      <c r="W94" s="142">
        <f t="shared" si="43"/>
        <v>59023620.75</v>
      </c>
      <c r="X94" s="134"/>
      <c r="Y94" s="142">
        <f t="shared" si="44"/>
        <v>59023620.75</v>
      </c>
      <c r="Z94" s="84"/>
      <c r="AA94" s="84"/>
    </row>
    <row r="95" spans="1:27" s="91" customFormat="1" ht="52.8">
      <c r="A95" s="167" t="s">
        <v>126</v>
      </c>
      <c r="B95" s="168" t="s">
        <v>89</v>
      </c>
      <c r="C95" s="142">
        <v>22927352.84</v>
      </c>
      <c r="D95" s="142"/>
      <c r="E95" s="142">
        <v>22927352.84</v>
      </c>
      <c r="F95" s="134"/>
      <c r="G95" s="142">
        <v>22927352.84</v>
      </c>
      <c r="H95" s="134">
        <v>-8052175.8799999999</v>
      </c>
      <c r="I95" s="142">
        <f t="shared" si="39"/>
        <v>14875176.960000001</v>
      </c>
      <c r="J95" s="134">
        <v>22927352.84</v>
      </c>
      <c r="K95" s="142">
        <f t="shared" si="40"/>
        <v>37802529.799999997</v>
      </c>
      <c r="L95" s="142">
        <v>0</v>
      </c>
      <c r="M95" s="134"/>
      <c r="N95" s="142">
        <v>0</v>
      </c>
      <c r="O95" s="134"/>
      <c r="P95" s="142">
        <f t="shared" si="41"/>
        <v>0</v>
      </c>
      <c r="Q95" s="134"/>
      <c r="R95" s="142">
        <f t="shared" si="42"/>
        <v>0</v>
      </c>
      <c r="S95" s="142">
        <v>0</v>
      </c>
      <c r="T95" s="134"/>
      <c r="U95" s="142">
        <v>0</v>
      </c>
      <c r="V95" s="134"/>
      <c r="W95" s="142">
        <f t="shared" si="43"/>
        <v>0</v>
      </c>
      <c r="X95" s="134"/>
      <c r="Y95" s="142">
        <f t="shared" si="44"/>
        <v>0</v>
      </c>
      <c r="Z95" s="179"/>
      <c r="AA95" s="179"/>
    </row>
    <row r="96" spans="1:27" s="91" customFormat="1" ht="52.8">
      <c r="A96" s="167" t="s">
        <v>127</v>
      </c>
      <c r="B96" s="168" t="s">
        <v>89</v>
      </c>
      <c r="C96" s="142">
        <v>467905.16</v>
      </c>
      <c r="D96" s="142"/>
      <c r="E96" s="142">
        <v>467905.16</v>
      </c>
      <c r="F96" s="134"/>
      <c r="G96" s="142">
        <v>467905.16</v>
      </c>
      <c r="H96" s="134">
        <v>-164330.12</v>
      </c>
      <c r="I96" s="142">
        <f t="shared" si="39"/>
        <v>303575.03999999998</v>
      </c>
      <c r="J96" s="134">
        <v>467905.16</v>
      </c>
      <c r="K96" s="142">
        <f t="shared" si="40"/>
        <v>771480.2</v>
      </c>
      <c r="L96" s="142">
        <v>0</v>
      </c>
      <c r="M96" s="134"/>
      <c r="N96" s="142">
        <v>0</v>
      </c>
      <c r="O96" s="134"/>
      <c r="P96" s="142">
        <f t="shared" si="41"/>
        <v>0</v>
      </c>
      <c r="Q96" s="134"/>
      <c r="R96" s="142">
        <f t="shared" si="42"/>
        <v>0</v>
      </c>
      <c r="S96" s="142">
        <v>0</v>
      </c>
      <c r="T96" s="134"/>
      <c r="U96" s="142">
        <v>0</v>
      </c>
      <c r="V96" s="134"/>
      <c r="W96" s="142">
        <f t="shared" si="43"/>
        <v>0</v>
      </c>
      <c r="X96" s="134"/>
      <c r="Y96" s="142">
        <f t="shared" si="44"/>
        <v>0</v>
      </c>
      <c r="Z96" s="179"/>
      <c r="AA96" s="179"/>
    </row>
    <row r="97" spans="1:27" s="3" customFormat="1" ht="52.5" customHeight="1">
      <c r="A97" s="163" t="s">
        <v>94</v>
      </c>
      <c r="B97" s="168" t="s">
        <v>95</v>
      </c>
      <c r="C97" s="142">
        <v>7755935.4000000004</v>
      </c>
      <c r="D97" s="142"/>
      <c r="E97" s="142">
        <v>7755935.4000000004</v>
      </c>
      <c r="F97" s="134">
        <v>-9398.7000000000007</v>
      </c>
      <c r="G97" s="142">
        <f>7755935.4+F97</f>
        <v>7746536.7000000002</v>
      </c>
      <c r="H97" s="134"/>
      <c r="I97" s="142">
        <f t="shared" si="39"/>
        <v>7746536.7000000002</v>
      </c>
      <c r="J97" s="134"/>
      <c r="K97" s="142">
        <f t="shared" si="40"/>
        <v>7746536.7000000002</v>
      </c>
      <c r="L97" s="142">
        <v>8162580</v>
      </c>
      <c r="M97" s="134">
        <v>-930850</v>
      </c>
      <c r="N97" s="142">
        <f>8162580+M97</f>
        <v>7231730</v>
      </c>
      <c r="O97" s="134"/>
      <c r="P97" s="142">
        <f t="shared" si="41"/>
        <v>7231730</v>
      </c>
      <c r="Q97" s="134"/>
      <c r="R97" s="142">
        <f t="shared" si="42"/>
        <v>7231730</v>
      </c>
      <c r="S97" s="142">
        <v>8162250</v>
      </c>
      <c r="T97" s="134">
        <v>-3651530</v>
      </c>
      <c r="U97" s="142">
        <f>8162250+T97</f>
        <v>4510720</v>
      </c>
      <c r="V97" s="134"/>
      <c r="W97" s="142">
        <f t="shared" si="43"/>
        <v>4510720</v>
      </c>
      <c r="X97" s="134"/>
      <c r="Y97" s="142">
        <f t="shared" si="44"/>
        <v>4510720</v>
      </c>
      <c r="Z97" s="84"/>
      <c r="AA97" s="84"/>
    </row>
    <row r="98" spans="1:27" s="3" customFormat="1" ht="66">
      <c r="A98" s="163" t="s">
        <v>96</v>
      </c>
      <c r="B98" s="168" t="s">
        <v>97</v>
      </c>
      <c r="C98" s="142">
        <v>7102432.9900000002</v>
      </c>
      <c r="D98" s="142"/>
      <c r="E98" s="142">
        <f>7102432.99+D98</f>
        <v>7102432.9900000002</v>
      </c>
      <c r="F98" s="134">
        <v>106281.64</v>
      </c>
      <c r="G98" s="142">
        <f>7102432.99+F98</f>
        <v>7208714.6299999999</v>
      </c>
      <c r="H98" s="134"/>
      <c r="I98" s="142">
        <f t="shared" si="39"/>
        <v>7208714.6299999999</v>
      </c>
      <c r="J98" s="134">
        <v>-7208714.6299999999</v>
      </c>
      <c r="K98" s="142">
        <f t="shared" si="40"/>
        <v>0</v>
      </c>
      <c r="L98" s="142">
        <v>7308981.79</v>
      </c>
      <c r="M98" s="134">
        <v>327593.87</v>
      </c>
      <c r="N98" s="142">
        <f>7308981.79+M98</f>
        <v>7636575.6600000001</v>
      </c>
      <c r="O98" s="134"/>
      <c r="P98" s="142">
        <f t="shared" si="41"/>
        <v>7636575.6600000001</v>
      </c>
      <c r="Q98" s="134"/>
      <c r="R98" s="142">
        <f t="shared" si="42"/>
        <v>7636575.6600000001</v>
      </c>
      <c r="S98" s="142">
        <v>7563946.2699999996</v>
      </c>
      <c r="T98" s="134">
        <v>331892.99</v>
      </c>
      <c r="U98" s="142">
        <f>7563946.27+T98</f>
        <v>7895839.2599999998</v>
      </c>
      <c r="V98" s="134"/>
      <c r="W98" s="142">
        <f t="shared" si="43"/>
        <v>7895839.2599999998</v>
      </c>
      <c r="X98" s="134"/>
      <c r="Y98" s="142">
        <f t="shared" si="44"/>
        <v>7895839.2599999998</v>
      </c>
      <c r="Z98" s="84"/>
      <c r="AA98" s="84"/>
    </row>
    <row r="99" spans="1:27" s="3" customFormat="1" ht="52.8">
      <c r="A99" s="167" t="s">
        <v>98</v>
      </c>
      <c r="B99" s="168" t="s">
        <v>99</v>
      </c>
      <c r="C99" s="142">
        <v>2768405.85</v>
      </c>
      <c r="D99" s="142"/>
      <c r="E99" s="142">
        <f>2768405.85+D99</f>
        <v>2768405.85</v>
      </c>
      <c r="F99" s="134">
        <v>125931.3</v>
      </c>
      <c r="G99" s="142">
        <f>2768405.85+F99</f>
        <v>2894337.15</v>
      </c>
      <c r="H99" s="134"/>
      <c r="I99" s="142">
        <f t="shared" si="39"/>
        <v>2894337.15</v>
      </c>
      <c r="J99" s="134"/>
      <c r="K99" s="142">
        <f t="shared" si="40"/>
        <v>2894337.15</v>
      </c>
      <c r="L99" s="142">
        <v>2873951.95</v>
      </c>
      <c r="M99" s="134">
        <v>323381.2</v>
      </c>
      <c r="N99" s="142">
        <f>2873951.95+M99</f>
        <v>3197333.1500000004</v>
      </c>
      <c r="O99" s="134"/>
      <c r="P99" s="142">
        <f t="shared" si="41"/>
        <v>3197333.1500000004</v>
      </c>
      <c r="Q99" s="134"/>
      <c r="R99" s="142">
        <f t="shared" si="42"/>
        <v>3197333.1500000004</v>
      </c>
      <c r="S99" s="142">
        <v>2997845.9</v>
      </c>
      <c r="T99" s="134">
        <v>505223.05</v>
      </c>
      <c r="U99" s="142">
        <f>2997845.9+T99</f>
        <v>3503068.9499999997</v>
      </c>
      <c r="V99" s="134"/>
      <c r="W99" s="142">
        <f t="shared" si="43"/>
        <v>3503068.9499999997</v>
      </c>
      <c r="X99" s="134"/>
      <c r="Y99" s="142">
        <f t="shared" si="44"/>
        <v>3503068.9499999997</v>
      </c>
      <c r="Z99" s="84"/>
      <c r="AA99" s="84"/>
    </row>
    <row r="100" spans="1:27" s="3" customFormat="1" ht="52.8">
      <c r="A100" s="163" t="s">
        <v>100</v>
      </c>
      <c r="B100" s="168" t="s">
        <v>101</v>
      </c>
      <c r="C100" s="142">
        <v>1481.71</v>
      </c>
      <c r="D100" s="142"/>
      <c r="E100" s="142">
        <v>1481.71</v>
      </c>
      <c r="F100" s="134">
        <v>3704.34</v>
      </c>
      <c r="G100" s="142">
        <f>1481.71+F100</f>
        <v>5186.05</v>
      </c>
      <c r="H100" s="134"/>
      <c r="I100" s="142">
        <f t="shared" si="39"/>
        <v>5186.05</v>
      </c>
      <c r="J100" s="134"/>
      <c r="K100" s="142">
        <f t="shared" si="40"/>
        <v>5186.05</v>
      </c>
      <c r="L100" s="142">
        <v>1321.79</v>
      </c>
      <c r="M100" s="134">
        <v>4064.11</v>
      </c>
      <c r="N100" s="142">
        <f>1321.79+M100</f>
        <v>5385.9</v>
      </c>
      <c r="O100" s="134"/>
      <c r="P100" s="142">
        <f t="shared" si="41"/>
        <v>5385.9</v>
      </c>
      <c r="Q100" s="134"/>
      <c r="R100" s="142">
        <f t="shared" si="42"/>
        <v>5385.9</v>
      </c>
      <c r="S100" s="142">
        <v>1321.95</v>
      </c>
      <c r="T100" s="134">
        <v>129682.01</v>
      </c>
      <c r="U100" s="142">
        <f>1321.95+T100</f>
        <v>131003.95999999999</v>
      </c>
      <c r="V100" s="134"/>
      <c r="W100" s="142">
        <f t="shared" si="43"/>
        <v>131003.95999999999</v>
      </c>
      <c r="X100" s="134"/>
      <c r="Y100" s="142">
        <f t="shared" si="44"/>
        <v>131003.95999999999</v>
      </c>
      <c r="Z100" s="84"/>
      <c r="AA100" s="84"/>
    </row>
    <row r="101" spans="1:27" s="3" customFormat="1" ht="51.75" customHeight="1">
      <c r="A101" s="169" t="s">
        <v>102</v>
      </c>
      <c r="B101" s="168" t="s">
        <v>103</v>
      </c>
      <c r="C101" s="142">
        <v>29774615</v>
      </c>
      <c r="D101" s="142"/>
      <c r="E101" s="142">
        <v>29774615</v>
      </c>
      <c r="F101" s="134">
        <v>126160</v>
      </c>
      <c r="G101" s="142">
        <f>29774615+F101</f>
        <v>29900775</v>
      </c>
      <c r="H101" s="134"/>
      <c r="I101" s="142">
        <f t="shared" si="39"/>
        <v>29900775</v>
      </c>
      <c r="J101" s="134"/>
      <c r="K101" s="142">
        <f t="shared" si="40"/>
        <v>29900775</v>
      </c>
      <c r="L101" s="142">
        <v>30027030</v>
      </c>
      <c r="M101" s="134">
        <v>252320</v>
      </c>
      <c r="N101" s="142">
        <f>30027030+M101</f>
        <v>30279350</v>
      </c>
      <c r="O101" s="134"/>
      <c r="P101" s="142">
        <f t="shared" si="41"/>
        <v>30279350</v>
      </c>
      <c r="Q101" s="134"/>
      <c r="R101" s="142">
        <f t="shared" si="42"/>
        <v>30279350</v>
      </c>
      <c r="S101" s="142">
        <v>29900775</v>
      </c>
      <c r="T101" s="134">
        <v>126255</v>
      </c>
      <c r="U101" s="142">
        <f>29900775+T101</f>
        <v>30027030</v>
      </c>
      <c r="V101" s="134"/>
      <c r="W101" s="142">
        <f t="shared" si="43"/>
        <v>30027030</v>
      </c>
      <c r="X101" s="134"/>
      <c r="Y101" s="142">
        <f t="shared" si="44"/>
        <v>30027030</v>
      </c>
      <c r="Z101" s="84"/>
      <c r="AA101" s="84"/>
    </row>
    <row r="102" spans="1:27" s="3" customFormat="1" ht="26.4">
      <c r="A102" s="163" t="s">
        <v>104</v>
      </c>
      <c r="B102" s="168" t="s">
        <v>105</v>
      </c>
      <c r="C102" s="142">
        <v>8677923.2799999993</v>
      </c>
      <c r="D102" s="142"/>
      <c r="E102" s="142">
        <v>8677923.2799999993</v>
      </c>
      <c r="F102" s="134"/>
      <c r="G102" s="142">
        <v>8677923.2799999993</v>
      </c>
      <c r="H102" s="134"/>
      <c r="I102" s="142">
        <f t="shared" si="39"/>
        <v>8677923.2799999993</v>
      </c>
      <c r="J102" s="134"/>
      <c r="K102" s="142">
        <f t="shared" si="40"/>
        <v>8677923.2799999993</v>
      </c>
      <c r="L102" s="142">
        <v>8755102.5099999998</v>
      </c>
      <c r="M102" s="134"/>
      <c r="N102" s="142">
        <v>8755102.5099999998</v>
      </c>
      <c r="O102" s="134"/>
      <c r="P102" s="142">
        <f t="shared" si="41"/>
        <v>8755102.5099999998</v>
      </c>
      <c r="Q102" s="134"/>
      <c r="R102" s="142">
        <f t="shared" si="42"/>
        <v>8755102.5099999998</v>
      </c>
      <c r="S102" s="142">
        <v>9066906.6099999994</v>
      </c>
      <c r="T102" s="134"/>
      <c r="U102" s="142">
        <v>9066906.6099999994</v>
      </c>
      <c r="V102" s="134"/>
      <c r="W102" s="142">
        <f t="shared" si="43"/>
        <v>9066906.6099999994</v>
      </c>
      <c r="X102" s="134"/>
      <c r="Y102" s="142">
        <f t="shared" si="44"/>
        <v>9066906.6099999994</v>
      </c>
      <c r="Z102" s="84"/>
      <c r="AA102" s="84"/>
    </row>
    <row r="103" spans="1:27" s="3" customFormat="1" ht="26.4">
      <c r="A103" s="163" t="s">
        <v>106</v>
      </c>
      <c r="B103" s="168" t="s">
        <v>107</v>
      </c>
      <c r="C103" s="142">
        <v>780010300</v>
      </c>
      <c r="D103" s="142"/>
      <c r="E103" s="142">
        <v>780010300</v>
      </c>
      <c r="F103" s="134"/>
      <c r="G103" s="142">
        <v>780010300</v>
      </c>
      <c r="H103" s="134"/>
      <c r="I103" s="142">
        <f t="shared" si="39"/>
        <v>780010300</v>
      </c>
      <c r="J103" s="134">
        <v>8563800</v>
      </c>
      <c r="K103" s="142">
        <f t="shared" si="40"/>
        <v>788574100</v>
      </c>
      <c r="L103" s="142">
        <v>813691700</v>
      </c>
      <c r="M103" s="134"/>
      <c r="N103" s="142">
        <v>813691700</v>
      </c>
      <c r="O103" s="134"/>
      <c r="P103" s="142">
        <f t="shared" si="41"/>
        <v>813691700</v>
      </c>
      <c r="Q103" s="134"/>
      <c r="R103" s="142">
        <f t="shared" si="42"/>
        <v>813691700</v>
      </c>
      <c r="S103" s="142">
        <v>820055300</v>
      </c>
      <c r="T103" s="134"/>
      <c r="U103" s="142">
        <v>820055300</v>
      </c>
      <c r="V103" s="134"/>
      <c r="W103" s="142">
        <f t="shared" si="43"/>
        <v>820055300</v>
      </c>
      <c r="X103" s="134"/>
      <c r="Y103" s="142">
        <f t="shared" si="44"/>
        <v>820055300</v>
      </c>
      <c r="Z103" s="84"/>
      <c r="AA103" s="84"/>
    </row>
    <row r="104" spans="1:27" s="3" customFormat="1" ht="52.8">
      <c r="A104" s="163" t="s">
        <v>108</v>
      </c>
      <c r="B104" s="168" t="s">
        <v>107</v>
      </c>
      <c r="C104" s="142">
        <v>40625528.090000004</v>
      </c>
      <c r="D104" s="142"/>
      <c r="E104" s="142">
        <v>40625528.090000004</v>
      </c>
      <c r="F104" s="134">
        <v>-10628.16</v>
      </c>
      <c r="G104" s="142">
        <f>40625528.09+F104</f>
        <v>40614899.930000007</v>
      </c>
      <c r="H104" s="134"/>
      <c r="I104" s="142">
        <f t="shared" si="39"/>
        <v>40614899.930000007</v>
      </c>
      <c r="J104" s="134">
        <v>7208714.6299999999</v>
      </c>
      <c r="K104" s="142">
        <f t="shared" si="40"/>
        <v>47823614.56000001</v>
      </c>
      <c r="L104" s="142">
        <v>22834794.960000001</v>
      </c>
      <c r="M104" s="134">
        <v>1782585.08</v>
      </c>
      <c r="N104" s="142">
        <f>22834794.96+M104</f>
        <v>24617380.039999999</v>
      </c>
      <c r="O104" s="134"/>
      <c r="P104" s="142">
        <f t="shared" si="41"/>
        <v>24617380.039999999</v>
      </c>
      <c r="Q104" s="134"/>
      <c r="R104" s="142">
        <f t="shared" si="42"/>
        <v>24617380.039999999</v>
      </c>
      <c r="S104" s="142">
        <v>22834794.960000001</v>
      </c>
      <c r="T104" s="134">
        <v>1783226.99</v>
      </c>
      <c r="U104" s="142">
        <f>22834794.96+T104</f>
        <v>24618021.949999999</v>
      </c>
      <c r="V104" s="134"/>
      <c r="W104" s="142">
        <f t="shared" si="43"/>
        <v>24618021.949999999</v>
      </c>
      <c r="X104" s="134"/>
      <c r="Y104" s="142">
        <f t="shared" si="44"/>
        <v>24618021.949999999</v>
      </c>
      <c r="Z104" s="84"/>
      <c r="AA104" s="84"/>
    </row>
    <row r="105" spans="1:27" s="3" customFormat="1">
      <c r="A105" s="163"/>
      <c r="B105" s="168"/>
      <c r="C105" s="142"/>
      <c r="D105" s="142"/>
      <c r="E105" s="142"/>
      <c r="F105" s="134"/>
      <c r="G105" s="142"/>
      <c r="H105" s="134"/>
      <c r="I105" s="142"/>
      <c r="J105" s="134"/>
      <c r="K105" s="142"/>
      <c r="L105" s="142"/>
      <c r="M105" s="134"/>
      <c r="N105" s="142"/>
      <c r="O105" s="134"/>
      <c r="P105" s="142"/>
      <c r="Q105" s="134"/>
      <c r="R105" s="142"/>
      <c r="S105" s="142"/>
      <c r="T105" s="134"/>
      <c r="U105" s="142"/>
      <c r="V105" s="134"/>
      <c r="W105" s="142"/>
      <c r="X105" s="134"/>
      <c r="Y105" s="142"/>
      <c r="Z105" s="84"/>
      <c r="AA105" s="84"/>
    </row>
    <row r="106" spans="1:27" s="88" customFormat="1" ht="26.4">
      <c r="A106" s="162" t="s">
        <v>109</v>
      </c>
      <c r="B106" s="203" t="s">
        <v>110</v>
      </c>
      <c r="C106" s="134">
        <f>SUM(C108:C110)</f>
        <v>74735451.409999996</v>
      </c>
      <c r="D106" s="134"/>
      <c r="E106" s="134">
        <f>SUM(E107:E121)</f>
        <v>74735451.409999996</v>
      </c>
      <c r="F106" s="134">
        <f t="shared" ref="F106:I106" si="45">SUM(F107:F121)</f>
        <v>1030059947.58</v>
      </c>
      <c r="G106" s="134">
        <f t="shared" si="45"/>
        <v>1104795398.99</v>
      </c>
      <c r="H106" s="134">
        <f t="shared" si="45"/>
        <v>52000</v>
      </c>
      <c r="I106" s="134">
        <f t="shared" si="45"/>
        <v>1104847398.99</v>
      </c>
      <c r="J106" s="134">
        <f t="shared" ref="J106:K106" si="46">SUM(J107:J121)</f>
        <v>1854248.0699999998</v>
      </c>
      <c r="K106" s="134">
        <f t="shared" si="46"/>
        <v>1106701647.0599999</v>
      </c>
      <c r="L106" s="134">
        <f>SUM(L107:L115)</f>
        <v>1568044.12</v>
      </c>
      <c r="M106" s="134">
        <f t="shared" ref="M106:T106" si="47">SUM(M107:M115)</f>
        <v>4396968.58</v>
      </c>
      <c r="N106" s="134">
        <f>SUM(N107:N121)</f>
        <v>5965012.7000000002</v>
      </c>
      <c r="O106" s="134">
        <f t="shared" ref="O106:P106" si="48">SUM(O107:O121)</f>
        <v>37564.14</v>
      </c>
      <c r="P106" s="134">
        <f t="shared" si="48"/>
        <v>6002576.8399999999</v>
      </c>
      <c r="Q106" s="134">
        <f t="shared" ref="Q106:R106" si="49">SUM(Q107:Q121)</f>
        <v>502342.18</v>
      </c>
      <c r="R106" s="134">
        <f t="shared" si="49"/>
        <v>6504919.0199999996</v>
      </c>
      <c r="S106" s="134">
        <f t="shared" si="47"/>
        <v>1568044.12</v>
      </c>
      <c r="T106" s="134">
        <f t="shared" si="47"/>
        <v>84873170.140000001</v>
      </c>
      <c r="U106" s="134">
        <f>SUM(U107:U121)</f>
        <v>86441214.260000005</v>
      </c>
      <c r="V106" s="134">
        <f t="shared" ref="V106:W106" si="50">SUM(V107:V121)</f>
        <v>37564.14</v>
      </c>
      <c r="W106" s="134">
        <f t="shared" si="50"/>
        <v>86478778.400000006</v>
      </c>
      <c r="X106" s="134">
        <f t="shared" ref="X106:Y106" si="51">SUM(X107:X121)</f>
        <v>1497771.17</v>
      </c>
      <c r="Y106" s="134">
        <f t="shared" si="51"/>
        <v>87976549.570000008</v>
      </c>
      <c r="Z106" s="178"/>
      <c r="AA106" s="178"/>
    </row>
    <row r="107" spans="1:27" s="3" customFormat="1" ht="79.95" customHeight="1">
      <c r="A107" s="163" t="s">
        <v>135</v>
      </c>
      <c r="B107" s="168" t="s">
        <v>134</v>
      </c>
      <c r="C107" s="142"/>
      <c r="D107" s="142"/>
      <c r="E107" s="142">
        <v>0</v>
      </c>
      <c r="F107" s="134">
        <v>4396968.58</v>
      </c>
      <c r="G107" s="142">
        <f>E107+F107</f>
        <v>4396968.58</v>
      </c>
      <c r="H107" s="134"/>
      <c r="I107" s="142">
        <f>G107+H107</f>
        <v>4396968.58</v>
      </c>
      <c r="J107" s="134"/>
      <c r="K107" s="142">
        <f>I107+J107</f>
        <v>4396968.58</v>
      </c>
      <c r="L107" s="142">
        <v>0</v>
      </c>
      <c r="M107" s="134">
        <v>4396968.58</v>
      </c>
      <c r="N107" s="142">
        <f>L107+M107</f>
        <v>4396968.58</v>
      </c>
      <c r="O107" s="134"/>
      <c r="P107" s="142">
        <f>N107+O107</f>
        <v>4396968.58</v>
      </c>
      <c r="Q107" s="134"/>
      <c r="R107" s="142">
        <f>P107+Q107</f>
        <v>4396968.58</v>
      </c>
      <c r="S107" s="142">
        <v>0</v>
      </c>
      <c r="T107" s="134">
        <v>5315495.72</v>
      </c>
      <c r="U107" s="142">
        <f>S107+T107</f>
        <v>5315495.72</v>
      </c>
      <c r="V107" s="134"/>
      <c r="W107" s="142">
        <f>U107+V107</f>
        <v>5315495.72</v>
      </c>
      <c r="X107" s="134"/>
      <c r="Y107" s="142">
        <f>W107+X107</f>
        <v>5315495.72</v>
      </c>
      <c r="Z107" s="84"/>
      <c r="AA107" s="84"/>
    </row>
    <row r="108" spans="1:27" ht="26.4">
      <c r="A108" s="163" t="s">
        <v>111</v>
      </c>
      <c r="B108" s="168" t="s">
        <v>112</v>
      </c>
      <c r="C108" s="142">
        <v>1595820.1</v>
      </c>
      <c r="D108" s="142"/>
      <c r="E108" s="142">
        <v>1595820.1</v>
      </c>
      <c r="F108" s="134"/>
      <c r="G108" s="142">
        <f>1595820.1+F108</f>
        <v>1595820.1</v>
      </c>
      <c r="H108" s="134"/>
      <c r="I108" s="142">
        <f t="shared" ref="I108:I117" si="52">G108+H108</f>
        <v>1595820.1</v>
      </c>
      <c r="J108" s="134"/>
      <c r="K108" s="142">
        <f t="shared" ref="K108:K120" si="53">I108+J108</f>
        <v>1595820.1</v>
      </c>
      <c r="L108" s="142">
        <v>1568044.12</v>
      </c>
      <c r="M108" s="134"/>
      <c r="N108" s="142">
        <v>1568044.12</v>
      </c>
      <c r="O108" s="134"/>
      <c r="P108" s="142">
        <f t="shared" ref="P108:P117" si="54">N108+O108</f>
        <v>1568044.12</v>
      </c>
      <c r="Q108" s="134"/>
      <c r="R108" s="142">
        <f t="shared" ref="R108:R120" si="55">P108+Q108</f>
        <v>1568044.12</v>
      </c>
      <c r="S108" s="142">
        <v>1568044.12</v>
      </c>
      <c r="T108" s="134"/>
      <c r="U108" s="142">
        <f>S108+T108</f>
        <v>1568044.12</v>
      </c>
      <c r="V108" s="134"/>
      <c r="W108" s="142">
        <f t="shared" ref="W108:W117" si="56">U108+V108</f>
        <v>1568044.12</v>
      </c>
      <c r="X108" s="134"/>
      <c r="Y108" s="142">
        <f t="shared" ref="Y108:Y119" si="57">W108+X108</f>
        <v>1568044.12</v>
      </c>
    </row>
    <row r="109" spans="1:27" ht="118.8">
      <c r="A109" s="163" t="s">
        <v>113</v>
      </c>
      <c r="B109" s="168" t="s">
        <v>112</v>
      </c>
      <c r="C109" s="142">
        <v>19631.310000000001</v>
      </c>
      <c r="D109" s="142"/>
      <c r="E109" s="142">
        <v>19631.310000000001</v>
      </c>
      <c r="F109" s="134"/>
      <c r="G109" s="142">
        <v>19631.310000000001</v>
      </c>
      <c r="H109" s="134"/>
      <c r="I109" s="142">
        <f t="shared" si="52"/>
        <v>19631.310000000001</v>
      </c>
      <c r="J109" s="134"/>
      <c r="K109" s="142">
        <f t="shared" si="53"/>
        <v>19631.310000000001</v>
      </c>
      <c r="L109" s="142">
        <v>0</v>
      </c>
      <c r="M109" s="134"/>
      <c r="N109" s="142">
        <v>0</v>
      </c>
      <c r="O109" s="134"/>
      <c r="P109" s="142">
        <f t="shared" si="54"/>
        <v>0</v>
      </c>
      <c r="Q109" s="134"/>
      <c r="R109" s="142">
        <f t="shared" si="55"/>
        <v>0</v>
      </c>
      <c r="S109" s="142">
        <v>0</v>
      </c>
      <c r="T109" s="134"/>
      <c r="U109" s="142">
        <f>S109+T109</f>
        <v>0</v>
      </c>
      <c r="V109" s="134"/>
      <c r="W109" s="142">
        <f t="shared" si="56"/>
        <v>0</v>
      </c>
      <c r="X109" s="134"/>
      <c r="Y109" s="142">
        <f t="shared" si="57"/>
        <v>0</v>
      </c>
    </row>
    <row r="110" spans="1:27" ht="39.6">
      <c r="A110" s="163" t="s">
        <v>114</v>
      </c>
      <c r="B110" s="168" t="s">
        <v>112</v>
      </c>
      <c r="C110" s="142">
        <v>73120000</v>
      </c>
      <c r="D110" s="142"/>
      <c r="E110" s="142">
        <v>73120000</v>
      </c>
      <c r="F110" s="134"/>
      <c r="G110" s="142">
        <f>73120000+F110</f>
        <v>73120000</v>
      </c>
      <c r="H110" s="134"/>
      <c r="I110" s="142">
        <f t="shared" si="52"/>
        <v>73120000</v>
      </c>
      <c r="J110" s="134"/>
      <c r="K110" s="142">
        <f t="shared" si="53"/>
        <v>73120000</v>
      </c>
      <c r="L110" s="142">
        <v>0</v>
      </c>
      <c r="M110" s="134"/>
      <c r="N110" s="142">
        <v>0</v>
      </c>
      <c r="O110" s="134"/>
      <c r="P110" s="142">
        <f t="shared" si="54"/>
        <v>0</v>
      </c>
      <c r="Q110" s="134"/>
      <c r="R110" s="142">
        <f t="shared" si="55"/>
        <v>0</v>
      </c>
      <c r="S110" s="142">
        <v>0</v>
      </c>
      <c r="T110" s="134"/>
      <c r="U110" s="142">
        <f>S110+T110</f>
        <v>0</v>
      </c>
      <c r="V110" s="134"/>
      <c r="W110" s="142">
        <f t="shared" si="56"/>
        <v>0</v>
      </c>
      <c r="X110" s="134"/>
      <c r="Y110" s="142">
        <f t="shared" si="57"/>
        <v>0</v>
      </c>
    </row>
    <row r="111" spans="1:27" ht="44.4" customHeight="1">
      <c r="A111" s="163" t="s">
        <v>132</v>
      </c>
      <c r="B111" s="168" t="s">
        <v>112</v>
      </c>
      <c r="C111" s="142"/>
      <c r="D111" s="142"/>
      <c r="E111" s="142"/>
      <c r="F111" s="134">
        <v>13629179</v>
      </c>
      <c r="G111" s="142">
        <f>E111+F111</f>
        <v>13629179</v>
      </c>
      <c r="H111" s="134"/>
      <c r="I111" s="142">
        <f t="shared" si="52"/>
        <v>13629179</v>
      </c>
      <c r="J111" s="134"/>
      <c r="K111" s="142">
        <f t="shared" si="53"/>
        <v>13629179</v>
      </c>
      <c r="L111" s="142"/>
      <c r="M111" s="134"/>
      <c r="N111" s="142"/>
      <c r="O111" s="134"/>
      <c r="P111" s="142">
        <f t="shared" si="54"/>
        <v>0</v>
      </c>
      <c r="Q111" s="134"/>
      <c r="R111" s="142">
        <f t="shared" si="55"/>
        <v>0</v>
      </c>
      <c r="S111" s="142"/>
      <c r="T111" s="134"/>
      <c r="U111" s="142">
        <f t="shared" ref="U111:U115" si="58">S111+T111</f>
        <v>0</v>
      </c>
      <c r="V111" s="134"/>
      <c r="W111" s="142">
        <f t="shared" si="56"/>
        <v>0</v>
      </c>
      <c r="X111" s="134"/>
      <c r="Y111" s="142">
        <f t="shared" si="57"/>
        <v>0</v>
      </c>
    </row>
    <row r="112" spans="1:27" ht="52.8">
      <c r="A112" s="163" t="s">
        <v>133</v>
      </c>
      <c r="B112" s="168" t="s">
        <v>112</v>
      </c>
      <c r="C112" s="142"/>
      <c r="D112" s="142"/>
      <c r="E112" s="142"/>
      <c r="F112" s="134">
        <v>1383800</v>
      </c>
      <c r="G112" s="142">
        <f t="shared" ref="G112:G116" si="59">E112+F112</f>
        <v>1383800</v>
      </c>
      <c r="H112" s="134"/>
      <c r="I112" s="142">
        <f t="shared" si="52"/>
        <v>1383800</v>
      </c>
      <c r="J112" s="134"/>
      <c r="K112" s="142">
        <f t="shared" si="53"/>
        <v>1383800</v>
      </c>
      <c r="L112" s="142"/>
      <c r="M112" s="134"/>
      <c r="N112" s="142"/>
      <c r="O112" s="134"/>
      <c r="P112" s="142">
        <f t="shared" si="54"/>
        <v>0</v>
      </c>
      <c r="Q112" s="134"/>
      <c r="R112" s="142">
        <f t="shared" si="55"/>
        <v>0</v>
      </c>
      <c r="S112" s="142"/>
      <c r="T112" s="134"/>
      <c r="U112" s="142">
        <f t="shared" si="58"/>
        <v>0</v>
      </c>
      <c r="V112" s="134"/>
      <c r="W112" s="142">
        <f t="shared" si="56"/>
        <v>0</v>
      </c>
      <c r="X112" s="134"/>
      <c r="Y112" s="142">
        <f t="shared" si="57"/>
        <v>0</v>
      </c>
    </row>
    <row r="113" spans="1:27" ht="42" customHeight="1">
      <c r="A113" s="163" t="s">
        <v>139</v>
      </c>
      <c r="B113" s="168" t="s">
        <v>112</v>
      </c>
      <c r="C113" s="142"/>
      <c r="D113" s="142"/>
      <c r="E113" s="142"/>
      <c r="F113" s="134">
        <v>30575020.420000002</v>
      </c>
      <c r="G113" s="142">
        <f t="shared" si="59"/>
        <v>30575020.420000002</v>
      </c>
      <c r="H113" s="134"/>
      <c r="I113" s="142">
        <f t="shared" si="52"/>
        <v>30575020.420000002</v>
      </c>
      <c r="J113" s="134"/>
      <c r="K113" s="142">
        <f t="shared" si="53"/>
        <v>30575020.420000002</v>
      </c>
      <c r="L113" s="142"/>
      <c r="M113" s="134"/>
      <c r="N113" s="142"/>
      <c r="O113" s="134"/>
      <c r="P113" s="142">
        <f t="shared" si="54"/>
        <v>0</v>
      </c>
      <c r="Q113" s="134"/>
      <c r="R113" s="142">
        <f t="shared" si="55"/>
        <v>0</v>
      </c>
      <c r="S113" s="142"/>
      <c r="T113" s="134"/>
      <c r="U113" s="142">
        <f t="shared" si="58"/>
        <v>0</v>
      </c>
      <c r="V113" s="134"/>
      <c r="W113" s="142">
        <f t="shared" si="56"/>
        <v>0</v>
      </c>
      <c r="X113" s="134"/>
      <c r="Y113" s="142">
        <f t="shared" si="57"/>
        <v>0</v>
      </c>
    </row>
    <row r="114" spans="1:27" ht="42" customHeight="1">
      <c r="A114" s="163" t="s">
        <v>140</v>
      </c>
      <c r="B114" s="168" t="s">
        <v>112</v>
      </c>
      <c r="C114" s="142"/>
      <c r="D114" s="142"/>
      <c r="E114" s="142"/>
      <c r="F114" s="134">
        <v>0</v>
      </c>
      <c r="G114" s="142">
        <v>0</v>
      </c>
      <c r="H114" s="134"/>
      <c r="I114" s="142">
        <f t="shared" si="52"/>
        <v>0</v>
      </c>
      <c r="J114" s="134"/>
      <c r="K114" s="142">
        <f t="shared" si="53"/>
        <v>0</v>
      </c>
      <c r="L114" s="142"/>
      <c r="M114" s="134"/>
      <c r="N114" s="142"/>
      <c r="O114" s="134"/>
      <c r="P114" s="142">
        <f t="shared" si="54"/>
        <v>0</v>
      </c>
      <c r="Q114" s="134"/>
      <c r="R114" s="142">
        <f t="shared" si="55"/>
        <v>0</v>
      </c>
      <c r="S114" s="142"/>
      <c r="T114" s="134">
        <v>79557674.420000002</v>
      </c>
      <c r="U114" s="142">
        <f t="shared" si="58"/>
        <v>79557674.420000002</v>
      </c>
      <c r="V114" s="134"/>
      <c r="W114" s="142">
        <f t="shared" si="56"/>
        <v>79557674.420000002</v>
      </c>
      <c r="X114" s="134"/>
      <c r="Y114" s="142">
        <f t="shared" si="57"/>
        <v>79557674.420000002</v>
      </c>
    </row>
    <row r="115" spans="1:27" ht="66" customHeight="1">
      <c r="A115" s="163" t="s">
        <v>137</v>
      </c>
      <c r="B115" s="168" t="s">
        <v>112</v>
      </c>
      <c r="C115" s="142"/>
      <c r="D115" s="142"/>
      <c r="E115" s="142"/>
      <c r="F115" s="134">
        <v>2774979.58</v>
      </c>
      <c r="G115" s="142">
        <f t="shared" si="59"/>
        <v>2774979.58</v>
      </c>
      <c r="H115" s="134"/>
      <c r="I115" s="142">
        <f t="shared" si="52"/>
        <v>2774979.58</v>
      </c>
      <c r="J115" s="134"/>
      <c r="K115" s="142">
        <f t="shared" si="53"/>
        <v>2774979.58</v>
      </c>
      <c r="L115" s="142"/>
      <c r="M115" s="134"/>
      <c r="N115" s="142"/>
      <c r="O115" s="134"/>
      <c r="P115" s="142">
        <f t="shared" si="54"/>
        <v>0</v>
      </c>
      <c r="Q115" s="134"/>
      <c r="R115" s="142">
        <f t="shared" si="55"/>
        <v>0</v>
      </c>
      <c r="S115" s="142"/>
      <c r="T115" s="134"/>
      <c r="U115" s="142">
        <f t="shared" si="58"/>
        <v>0</v>
      </c>
      <c r="V115" s="134"/>
      <c r="W115" s="142">
        <f t="shared" si="56"/>
        <v>0</v>
      </c>
      <c r="X115" s="134"/>
      <c r="Y115" s="142">
        <f t="shared" si="57"/>
        <v>0</v>
      </c>
    </row>
    <row r="116" spans="1:27" ht="68.25" customHeight="1">
      <c r="A116" s="163" t="s">
        <v>146</v>
      </c>
      <c r="B116" s="168" t="s">
        <v>112</v>
      </c>
      <c r="C116" s="142"/>
      <c r="D116" s="142"/>
      <c r="E116" s="142"/>
      <c r="F116" s="134">
        <v>977300000</v>
      </c>
      <c r="G116" s="142">
        <f t="shared" si="59"/>
        <v>977300000</v>
      </c>
      <c r="H116" s="134"/>
      <c r="I116" s="142">
        <f t="shared" si="52"/>
        <v>977300000</v>
      </c>
      <c r="J116" s="134"/>
      <c r="K116" s="142">
        <f t="shared" si="53"/>
        <v>977300000</v>
      </c>
      <c r="L116" s="142"/>
      <c r="M116" s="134"/>
      <c r="N116" s="142"/>
      <c r="O116" s="134"/>
      <c r="P116" s="142">
        <f t="shared" si="54"/>
        <v>0</v>
      </c>
      <c r="Q116" s="134"/>
      <c r="R116" s="142">
        <f t="shared" si="55"/>
        <v>0</v>
      </c>
      <c r="S116" s="142"/>
      <c r="T116" s="134"/>
      <c r="U116" s="142"/>
      <c r="V116" s="134"/>
      <c r="W116" s="142">
        <f t="shared" si="56"/>
        <v>0</v>
      </c>
      <c r="X116" s="134"/>
      <c r="Y116" s="142">
        <f t="shared" si="57"/>
        <v>0</v>
      </c>
    </row>
    <row r="117" spans="1:27" ht="66" customHeight="1">
      <c r="A117" s="163" t="s">
        <v>161</v>
      </c>
      <c r="B117" s="168" t="s">
        <v>112</v>
      </c>
      <c r="C117" s="142"/>
      <c r="D117" s="142"/>
      <c r="E117" s="142"/>
      <c r="F117" s="134"/>
      <c r="G117" s="142"/>
      <c r="H117" s="134">
        <v>52000</v>
      </c>
      <c r="I117" s="142">
        <f t="shared" si="52"/>
        <v>52000</v>
      </c>
      <c r="J117" s="134"/>
      <c r="K117" s="142">
        <f t="shared" si="53"/>
        <v>52000</v>
      </c>
      <c r="L117" s="142"/>
      <c r="M117" s="134"/>
      <c r="N117" s="142"/>
      <c r="O117" s="134">
        <v>37564.14</v>
      </c>
      <c r="P117" s="142">
        <f t="shared" si="54"/>
        <v>37564.14</v>
      </c>
      <c r="Q117" s="134"/>
      <c r="R117" s="142">
        <f t="shared" si="55"/>
        <v>37564.14</v>
      </c>
      <c r="S117" s="142"/>
      <c r="T117" s="134"/>
      <c r="U117" s="142"/>
      <c r="V117" s="134">
        <v>37564.14</v>
      </c>
      <c r="W117" s="142">
        <f t="shared" si="56"/>
        <v>37564.14</v>
      </c>
      <c r="X117" s="134"/>
      <c r="Y117" s="142">
        <f t="shared" si="57"/>
        <v>37564.14</v>
      </c>
    </row>
    <row r="118" spans="1:27" ht="125.4" customHeight="1">
      <c r="A118" s="163" t="s">
        <v>171</v>
      </c>
      <c r="B118" s="168" t="s">
        <v>112</v>
      </c>
      <c r="C118" s="142"/>
      <c r="D118" s="142"/>
      <c r="E118" s="142"/>
      <c r="F118" s="134"/>
      <c r="G118" s="142"/>
      <c r="H118" s="134"/>
      <c r="I118" s="142"/>
      <c r="J118" s="134">
        <v>696383.99</v>
      </c>
      <c r="K118" s="142">
        <f t="shared" si="53"/>
        <v>696383.99</v>
      </c>
      <c r="L118" s="142"/>
      <c r="M118" s="134"/>
      <c r="N118" s="142"/>
      <c r="O118" s="134"/>
      <c r="P118" s="142"/>
      <c r="Q118" s="134"/>
      <c r="R118" s="142">
        <f t="shared" si="55"/>
        <v>0</v>
      </c>
      <c r="S118" s="142"/>
      <c r="T118" s="134"/>
      <c r="U118" s="142"/>
      <c r="V118" s="134"/>
      <c r="W118" s="142"/>
      <c r="X118" s="134"/>
      <c r="Y118" s="142">
        <f t="shared" si="57"/>
        <v>0</v>
      </c>
    </row>
    <row r="119" spans="1:27" ht="76.8" customHeight="1">
      <c r="A119" s="163" t="s">
        <v>173</v>
      </c>
      <c r="B119" s="168" t="s">
        <v>112</v>
      </c>
      <c r="C119" s="142"/>
      <c r="D119" s="142"/>
      <c r="E119" s="142"/>
      <c r="F119" s="134"/>
      <c r="G119" s="142"/>
      <c r="H119" s="134"/>
      <c r="I119" s="142"/>
      <c r="J119" s="134">
        <v>737864.08</v>
      </c>
      <c r="K119" s="142">
        <f t="shared" si="53"/>
        <v>737864.08</v>
      </c>
      <c r="L119" s="142"/>
      <c r="M119" s="134"/>
      <c r="N119" s="142"/>
      <c r="O119" s="134"/>
      <c r="P119" s="142"/>
      <c r="Q119" s="134">
        <v>502342.18</v>
      </c>
      <c r="R119" s="142">
        <f t="shared" si="55"/>
        <v>502342.18</v>
      </c>
      <c r="S119" s="142"/>
      <c r="T119" s="134"/>
      <c r="U119" s="142"/>
      <c r="V119" s="134"/>
      <c r="W119" s="142"/>
      <c r="X119" s="134">
        <v>1497771.17</v>
      </c>
      <c r="Y119" s="142">
        <f t="shared" si="57"/>
        <v>1497771.17</v>
      </c>
    </row>
    <row r="120" spans="1:27" ht="52.2" customHeight="1">
      <c r="A120" s="163" t="s">
        <v>169</v>
      </c>
      <c r="B120" s="168" t="s">
        <v>112</v>
      </c>
      <c r="C120" s="142"/>
      <c r="D120" s="142"/>
      <c r="E120" s="142"/>
      <c r="F120" s="134"/>
      <c r="G120" s="142"/>
      <c r="H120" s="134"/>
      <c r="I120" s="142"/>
      <c r="J120" s="134">
        <v>420000</v>
      </c>
      <c r="K120" s="142">
        <f t="shared" si="53"/>
        <v>420000</v>
      </c>
      <c r="L120" s="142"/>
      <c r="M120" s="134"/>
      <c r="N120" s="142"/>
      <c r="O120" s="134"/>
      <c r="P120" s="142"/>
      <c r="Q120" s="134"/>
      <c r="R120" s="142">
        <f t="shared" si="55"/>
        <v>0</v>
      </c>
      <c r="S120" s="142"/>
      <c r="T120" s="134"/>
      <c r="U120" s="142"/>
      <c r="V120" s="134"/>
      <c r="W120" s="142"/>
      <c r="X120" s="134"/>
      <c r="Y120" s="142"/>
    </row>
    <row r="121" spans="1:27" ht="14.4" customHeight="1">
      <c r="A121" s="163"/>
      <c r="B121" s="168"/>
      <c r="C121" s="142"/>
      <c r="D121" s="142"/>
      <c r="E121" s="142"/>
      <c r="F121" s="134"/>
      <c r="G121" s="142"/>
      <c r="H121" s="134"/>
      <c r="I121" s="142"/>
      <c r="J121" s="134"/>
      <c r="K121" s="142"/>
      <c r="L121" s="142"/>
      <c r="M121" s="134"/>
      <c r="N121" s="142"/>
      <c r="O121" s="134"/>
      <c r="P121" s="142"/>
      <c r="Q121" s="134"/>
      <c r="R121" s="142"/>
      <c r="S121" s="142"/>
      <c r="T121" s="134"/>
      <c r="U121" s="142"/>
      <c r="V121" s="134"/>
      <c r="W121" s="142"/>
      <c r="X121" s="134"/>
      <c r="Y121" s="142"/>
    </row>
    <row r="122" spans="1:27" s="92" customFormat="1" ht="26.4">
      <c r="A122" s="170" t="s">
        <v>115</v>
      </c>
      <c r="B122" s="203" t="s">
        <v>116</v>
      </c>
      <c r="C122" s="134">
        <f>SUM(C123:C125)</f>
        <v>4733979.03</v>
      </c>
      <c r="D122" s="134">
        <f t="shared" ref="D122:T122" si="60">SUM(D123:D125)</f>
        <v>0</v>
      </c>
      <c r="E122" s="134">
        <f t="shared" si="60"/>
        <v>4733979.03</v>
      </c>
      <c r="F122" s="134">
        <f t="shared" si="60"/>
        <v>137396000</v>
      </c>
      <c r="G122" s="134">
        <f t="shared" si="60"/>
        <v>142129979.03</v>
      </c>
      <c r="H122" s="134">
        <f t="shared" ref="H122:I122" si="61">SUM(H123:H125)</f>
        <v>0</v>
      </c>
      <c r="I122" s="134">
        <f t="shared" si="61"/>
        <v>142129979.03</v>
      </c>
      <c r="J122" s="134">
        <f t="shared" ref="J122:K122" si="62">SUM(J123:J125)</f>
        <v>446527.76</v>
      </c>
      <c r="K122" s="134">
        <f t="shared" si="62"/>
        <v>142576506.78999999</v>
      </c>
      <c r="L122" s="134">
        <f t="shared" si="60"/>
        <v>0</v>
      </c>
      <c r="M122" s="134">
        <f t="shared" si="60"/>
        <v>137396000</v>
      </c>
      <c r="N122" s="134">
        <f t="shared" si="60"/>
        <v>137396000</v>
      </c>
      <c r="O122" s="134">
        <f t="shared" ref="O122:P122" si="63">SUM(O123:O125)</f>
        <v>0</v>
      </c>
      <c r="P122" s="134">
        <f t="shared" si="63"/>
        <v>137396000</v>
      </c>
      <c r="Q122" s="134">
        <f t="shared" ref="Q122:R122" si="64">SUM(Q123:Q125)</f>
        <v>0</v>
      </c>
      <c r="R122" s="134">
        <f t="shared" si="64"/>
        <v>137396000</v>
      </c>
      <c r="S122" s="134">
        <f t="shared" si="60"/>
        <v>0</v>
      </c>
      <c r="T122" s="134">
        <f t="shared" si="60"/>
        <v>137396000</v>
      </c>
      <c r="U122" s="134">
        <f>SUM(U123:U125)</f>
        <v>137396000</v>
      </c>
      <c r="V122" s="134">
        <f t="shared" ref="V122:X122" si="65">SUM(V123:V125)</f>
        <v>0</v>
      </c>
      <c r="W122" s="134">
        <f>SUM(W123:W125)</f>
        <v>137396000</v>
      </c>
      <c r="X122" s="134">
        <f t="shared" si="65"/>
        <v>0</v>
      </c>
      <c r="Y122" s="134">
        <f>SUM(Y123:Y125)</f>
        <v>137396000</v>
      </c>
      <c r="Z122" s="178"/>
      <c r="AA122" s="98"/>
    </row>
    <row r="123" spans="1:27" s="49" customFormat="1" ht="26.4">
      <c r="A123" s="171" t="s">
        <v>117</v>
      </c>
      <c r="B123" s="168" t="s">
        <v>118</v>
      </c>
      <c r="C123" s="142">
        <v>4733979.03</v>
      </c>
      <c r="D123" s="134">
        <v>0</v>
      </c>
      <c r="E123" s="142">
        <f>C123+D123</f>
        <v>4733979.03</v>
      </c>
      <c r="F123" s="134"/>
      <c r="G123" s="142">
        <v>4733979.03</v>
      </c>
      <c r="H123" s="134"/>
      <c r="I123" s="142">
        <f>G123+H123</f>
        <v>4733979.03</v>
      </c>
      <c r="J123" s="134">
        <v>446527.76</v>
      </c>
      <c r="K123" s="142">
        <f>I123+J123</f>
        <v>5180506.79</v>
      </c>
      <c r="L123" s="142"/>
      <c r="M123" s="134"/>
      <c r="N123" s="142">
        <f>L123+M123</f>
        <v>0</v>
      </c>
      <c r="O123" s="134"/>
      <c r="P123" s="142">
        <f>N123+O123</f>
        <v>0</v>
      </c>
      <c r="Q123" s="134"/>
      <c r="R123" s="142">
        <f>P123+Q123</f>
        <v>0</v>
      </c>
      <c r="S123" s="142"/>
      <c r="T123" s="134"/>
      <c r="U123" s="142">
        <f>S123+T123</f>
        <v>0</v>
      </c>
      <c r="V123" s="134"/>
      <c r="W123" s="142">
        <f>U123+V123</f>
        <v>0</v>
      </c>
      <c r="X123" s="134"/>
      <c r="Y123" s="142">
        <f>W123+X123</f>
        <v>0</v>
      </c>
      <c r="Z123" s="84"/>
      <c r="AA123" s="102"/>
    </row>
    <row r="124" spans="1:27" s="49" customFormat="1" ht="38.25" customHeight="1">
      <c r="A124" s="171" t="s">
        <v>148</v>
      </c>
      <c r="B124" s="168" t="s">
        <v>118</v>
      </c>
      <c r="C124" s="142"/>
      <c r="D124" s="134"/>
      <c r="E124" s="142"/>
      <c r="F124" s="134">
        <v>137396000</v>
      </c>
      <c r="G124" s="142">
        <f>E124+F124</f>
        <v>137396000</v>
      </c>
      <c r="H124" s="134"/>
      <c r="I124" s="142">
        <f>G124+H124</f>
        <v>137396000</v>
      </c>
      <c r="J124" s="134"/>
      <c r="K124" s="142">
        <f>I124+J124</f>
        <v>137396000</v>
      </c>
      <c r="L124" s="142"/>
      <c r="M124" s="134">
        <v>137396000</v>
      </c>
      <c r="N124" s="142">
        <f>L124+M124</f>
        <v>137396000</v>
      </c>
      <c r="O124" s="134"/>
      <c r="P124" s="142">
        <f>N124+O124</f>
        <v>137396000</v>
      </c>
      <c r="Q124" s="134"/>
      <c r="R124" s="142">
        <f>P124+Q124</f>
        <v>137396000</v>
      </c>
      <c r="S124" s="142"/>
      <c r="T124" s="134">
        <v>137396000</v>
      </c>
      <c r="U124" s="142">
        <f>S124+T124</f>
        <v>137396000</v>
      </c>
      <c r="V124" s="134"/>
      <c r="W124" s="142">
        <f>U124+V124</f>
        <v>137396000</v>
      </c>
      <c r="X124" s="134"/>
      <c r="Y124" s="142">
        <f>W124+X124</f>
        <v>137396000</v>
      </c>
      <c r="Z124" s="84"/>
      <c r="AA124" s="102"/>
    </row>
    <row r="125" spans="1:27">
      <c r="A125" s="163"/>
      <c r="B125" s="168"/>
      <c r="C125" s="142"/>
      <c r="D125" s="142"/>
      <c r="E125" s="142"/>
      <c r="F125" s="134"/>
      <c r="G125" s="142"/>
      <c r="H125" s="134"/>
      <c r="I125" s="142"/>
      <c r="J125" s="134"/>
      <c r="K125" s="142"/>
      <c r="L125" s="142"/>
      <c r="M125" s="134"/>
      <c r="N125" s="142"/>
      <c r="O125" s="134"/>
      <c r="P125" s="142"/>
      <c r="Q125" s="134"/>
      <c r="R125" s="142"/>
      <c r="S125" s="142"/>
      <c r="T125" s="134"/>
      <c r="U125" s="142"/>
      <c r="V125" s="134"/>
      <c r="W125" s="142"/>
      <c r="X125" s="134"/>
      <c r="Y125" s="142"/>
    </row>
    <row r="126" spans="1:27">
      <c r="A126" s="53" t="s">
        <v>119</v>
      </c>
      <c r="B126" s="203"/>
      <c r="C126" s="134">
        <f t="shared" ref="C126:U126" si="66">C59+C19</f>
        <v>2248408464.6700001</v>
      </c>
      <c r="D126" s="206">
        <f t="shared" si="66"/>
        <v>13524558.560000001</v>
      </c>
      <c r="E126" s="134">
        <f t="shared" si="66"/>
        <v>2261933023.23</v>
      </c>
      <c r="F126" s="134">
        <f t="shared" si="66"/>
        <v>1195923556.5</v>
      </c>
      <c r="G126" s="134">
        <f t="shared" si="66"/>
        <v>3457856579.73</v>
      </c>
      <c r="H126" s="134">
        <f t="shared" ref="H126:I126" si="67">H59+H19</f>
        <v>29389969.340000004</v>
      </c>
      <c r="I126" s="134">
        <f t="shared" si="67"/>
        <v>3487246549.0700002</v>
      </c>
      <c r="J126" s="134">
        <f t="shared" ref="J126:K126" si="68">J59+J19</f>
        <v>44097769.749999993</v>
      </c>
      <c r="K126" s="134">
        <f t="shared" si="68"/>
        <v>3531344318.8199997</v>
      </c>
      <c r="L126" s="134">
        <f t="shared" si="66"/>
        <v>2283267767.0799999</v>
      </c>
      <c r="M126" s="206">
        <f t="shared" si="66"/>
        <v>142963151.66999999</v>
      </c>
      <c r="N126" s="134">
        <f t="shared" si="66"/>
        <v>2426230918.75</v>
      </c>
      <c r="O126" s="206">
        <f t="shared" ref="O126:P126" si="69">O59+O19</f>
        <v>37564.14</v>
      </c>
      <c r="P126" s="134">
        <f t="shared" si="69"/>
        <v>2426268482.8899999</v>
      </c>
      <c r="Q126" s="206">
        <f t="shared" ref="Q126:R126" si="70">Q59+Q19</f>
        <v>3379093.7600000002</v>
      </c>
      <c r="R126" s="134">
        <f t="shared" si="70"/>
        <v>2429647576.6500001</v>
      </c>
      <c r="S126" s="134">
        <f t="shared" si="66"/>
        <v>2345285634.5599999</v>
      </c>
      <c r="T126" s="206">
        <f t="shared" si="66"/>
        <v>220423882.55000001</v>
      </c>
      <c r="U126" s="134">
        <f t="shared" si="66"/>
        <v>2565709517.1099997</v>
      </c>
      <c r="V126" s="206">
        <f t="shared" ref="V126:W126" si="71">V59+V19</f>
        <v>37564.14</v>
      </c>
      <c r="W126" s="134">
        <f t="shared" si="71"/>
        <v>2565747081.25</v>
      </c>
      <c r="X126" s="206">
        <f t="shared" ref="X126:Y126" si="72">X59+X19</f>
        <v>4374522.75</v>
      </c>
      <c r="Y126" s="134">
        <f t="shared" si="72"/>
        <v>2570121604</v>
      </c>
    </row>
    <row r="127" spans="1:27">
      <c r="L127" s="103"/>
      <c r="M127" s="105"/>
      <c r="N127" s="103"/>
      <c r="O127" s="105"/>
      <c r="P127" s="103"/>
      <c r="Q127" s="105"/>
      <c r="R127" s="103"/>
      <c r="S127" s="103"/>
      <c r="T127" s="105"/>
      <c r="U127" s="103"/>
      <c r="V127" s="105"/>
      <c r="W127" s="103"/>
      <c r="X127" s="105"/>
      <c r="Y127" s="103"/>
    </row>
    <row r="128" spans="1:27">
      <c r="C128" s="102"/>
      <c r="D128" s="102"/>
      <c r="E128" s="102"/>
      <c r="F128" s="106"/>
      <c r="G128" s="102"/>
      <c r="H128" s="106"/>
      <c r="I128" s="102"/>
      <c r="J128" s="106"/>
      <c r="K128" s="102"/>
      <c r="L128" s="102"/>
      <c r="M128" s="106"/>
      <c r="N128" s="102"/>
      <c r="O128" s="106"/>
      <c r="P128" s="102"/>
      <c r="Q128" s="106"/>
      <c r="R128" s="102"/>
      <c r="S128" s="102"/>
      <c r="T128" s="106"/>
      <c r="U128" s="102"/>
      <c r="V128" s="106"/>
      <c r="W128" s="102"/>
      <c r="X128" s="106"/>
      <c r="Y128" s="102"/>
      <c r="Z128" s="180"/>
    </row>
    <row r="129" spans="3:25">
      <c r="C129" s="102"/>
      <c r="D129" s="102"/>
      <c r="E129" s="102"/>
      <c r="F129" s="106"/>
      <c r="G129" s="102"/>
      <c r="H129" s="106"/>
      <c r="I129" s="102"/>
      <c r="J129" s="106"/>
      <c r="K129" s="102"/>
      <c r="L129" s="102"/>
      <c r="M129" s="106"/>
      <c r="N129" s="102"/>
      <c r="O129" s="106"/>
      <c r="P129" s="102"/>
      <c r="Q129" s="106"/>
      <c r="R129" s="102"/>
      <c r="S129" s="102"/>
      <c r="T129" s="106"/>
      <c r="U129" s="102"/>
      <c r="V129" s="106"/>
      <c r="W129" s="102"/>
      <c r="X129" s="106"/>
      <c r="Y129" s="102"/>
    </row>
    <row r="130" spans="3:25">
      <c r="M130" s="106"/>
      <c r="O130" s="106"/>
      <c r="Q130" s="106"/>
    </row>
    <row r="131" spans="3:25">
      <c r="C131" s="102"/>
      <c r="D131" s="102"/>
      <c r="E131" s="102"/>
      <c r="F131" s="106"/>
      <c r="G131" s="102"/>
      <c r="H131" s="106"/>
      <c r="I131" s="102"/>
      <c r="J131" s="106"/>
      <c r="K131" s="102"/>
    </row>
  </sheetData>
  <mergeCells count="17">
    <mergeCell ref="A16:A17"/>
    <mergeCell ref="B16:B17"/>
    <mergeCell ref="C17:K17"/>
    <mergeCell ref="L17:R17"/>
    <mergeCell ref="L1:Y1"/>
    <mergeCell ref="C2:Y2"/>
    <mergeCell ref="S17:Y17"/>
    <mergeCell ref="C16:Y16"/>
    <mergeCell ref="L4:Y4"/>
    <mergeCell ref="C5:Y5"/>
    <mergeCell ref="L7:Y7"/>
    <mergeCell ref="C8:Y8"/>
    <mergeCell ref="L10:Y10"/>
    <mergeCell ref="C11:Y11"/>
    <mergeCell ref="L13:Y13"/>
    <mergeCell ref="C14:Y14"/>
    <mergeCell ref="A15:S15"/>
  </mergeCells>
  <pageMargins left="0.51181102362204722" right="0.19685039370078741" top="0.19685039370078741" bottom="0.15748031496062992" header="0.15748031496062992" footer="0.15748031496062992"/>
  <pageSetup paperSize="9" scale="8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>
      <selection sqref="A1:XFD8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5" width="15.5546875" style="1" customWidth="1"/>
    <col min="6" max="6" width="15.5546875" style="104" customWidth="1"/>
    <col min="7" max="7" width="15.5546875" style="49" customWidth="1"/>
    <col min="8" max="8" width="14.5546875" style="1" customWidth="1"/>
    <col min="9" max="9" width="14.5546875" style="104" customWidth="1"/>
    <col min="10" max="10" width="14.5546875" style="1" customWidth="1"/>
    <col min="11" max="11" width="15.33203125" style="1" customWidth="1"/>
    <col min="12" max="12" width="15.33203125" style="104" customWidth="1"/>
    <col min="13" max="13" width="15.33203125" style="1" customWidth="1"/>
    <col min="14" max="14" width="11.88671875" style="3" customWidth="1"/>
    <col min="15" max="15" width="10.6640625" style="1" bestFit="1" customWidth="1"/>
    <col min="16" max="16384" width="9.109375" style="1"/>
  </cols>
  <sheetData>
    <row r="1" spans="1:15" ht="18.600000000000001" customHeight="1">
      <c r="B1" s="93"/>
      <c r="H1" s="261" t="s">
        <v>0</v>
      </c>
      <c r="I1" s="261"/>
      <c r="J1" s="261"/>
      <c r="K1" s="261"/>
      <c r="L1" s="262"/>
      <c r="M1" s="262"/>
      <c r="N1" s="77"/>
    </row>
    <row r="2" spans="1:15" ht="27.6" customHeight="1">
      <c r="B2" s="93"/>
      <c r="C2" s="226" t="s">
        <v>131</v>
      </c>
      <c r="D2" s="226"/>
      <c r="E2" s="226"/>
      <c r="F2" s="226"/>
      <c r="G2" s="226"/>
      <c r="H2" s="226"/>
      <c r="I2" s="226"/>
      <c r="J2" s="226"/>
      <c r="K2" s="226"/>
      <c r="L2" s="257"/>
      <c r="M2" s="257"/>
      <c r="N2" s="77"/>
    </row>
    <row r="3" spans="1:15" ht="12.6" customHeight="1">
      <c r="B3" s="93"/>
      <c r="C3" s="94"/>
      <c r="D3" s="94"/>
      <c r="E3" s="94"/>
      <c r="F3" s="109"/>
      <c r="G3" s="108"/>
      <c r="H3" s="94"/>
      <c r="I3" s="109"/>
      <c r="J3" s="96"/>
      <c r="K3" s="94"/>
      <c r="L3" s="109"/>
      <c r="M3" s="96"/>
      <c r="N3" s="77"/>
    </row>
    <row r="4" spans="1:15">
      <c r="H4" s="261" t="s">
        <v>0</v>
      </c>
      <c r="I4" s="261"/>
      <c r="J4" s="261"/>
      <c r="K4" s="261"/>
      <c r="L4" s="262"/>
      <c r="M4" s="262"/>
      <c r="N4" s="77"/>
    </row>
    <row r="5" spans="1:15" ht="27" customHeight="1">
      <c r="C5" s="226" t="s">
        <v>125</v>
      </c>
      <c r="D5" s="226"/>
      <c r="E5" s="226"/>
      <c r="F5" s="226"/>
      <c r="G5" s="226"/>
      <c r="H5" s="226"/>
      <c r="I5" s="226"/>
      <c r="J5" s="226"/>
      <c r="K5" s="226"/>
      <c r="L5" s="257"/>
      <c r="M5" s="257"/>
      <c r="N5" s="77"/>
    </row>
    <row r="6" spans="1:15" ht="13.2" customHeight="1">
      <c r="C6" s="81"/>
      <c r="D6" s="83"/>
      <c r="E6" s="83"/>
      <c r="F6" s="109"/>
      <c r="G6" s="108"/>
      <c r="H6" s="81"/>
      <c r="I6" s="109"/>
      <c r="J6" s="96"/>
      <c r="K6" s="81"/>
      <c r="L6" s="109"/>
      <c r="M6" s="96"/>
      <c r="N6" s="77"/>
    </row>
    <row r="7" spans="1:15">
      <c r="H7" s="261" t="s">
        <v>0</v>
      </c>
      <c r="I7" s="261"/>
      <c r="J7" s="261"/>
      <c r="K7" s="261"/>
      <c r="L7" s="262"/>
      <c r="M7" s="262"/>
      <c r="N7" s="77"/>
    </row>
    <row r="8" spans="1:15" ht="30" customHeight="1">
      <c r="C8" s="226" t="s">
        <v>128</v>
      </c>
      <c r="D8" s="226"/>
      <c r="E8" s="226"/>
      <c r="F8" s="226"/>
      <c r="G8" s="226"/>
      <c r="H8" s="226"/>
      <c r="I8" s="226"/>
      <c r="J8" s="226"/>
      <c r="K8" s="226"/>
      <c r="L8" s="257"/>
      <c r="M8" s="257"/>
      <c r="N8" s="77"/>
    </row>
    <row r="9" spans="1:15" s="79" customFormat="1" ht="30" customHeight="1">
      <c r="A9" s="227" t="s">
        <v>2</v>
      </c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111"/>
      <c r="M9" s="107"/>
      <c r="N9" s="78"/>
    </row>
    <row r="10" spans="1:15" ht="21.75" customHeight="1">
      <c r="A10" s="236" t="s">
        <v>3</v>
      </c>
      <c r="B10" s="236" t="s">
        <v>4</v>
      </c>
      <c r="C10" s="236" t="s">
        <v>5</v>
      </c>
      <c r="D10" s="236"/>
      <c r="E10" s="236"/>
      <c r="F10" s="236"/>
      <c r="G10" s="236"/>
      <c r="H10" s="236"/>
      <c r="I10" s="236"/>
      <c r="J10" s="236"/>
      <c r="K10" s="236"/>
      <c r="L10" s="243"/>
      <c r="M10" s="243"/>
      <c r="N10" s="84"/>
      <c r="O10" s="58"/>
    </row>
    <row r="11" spans="1:15" ht="23.4" customHeight="1">
      <c r="A11" s="236"/>
      <c r="B11" s="236"/>
      <c r="C11" s="258" t="s">
        <v>6</v>
      </c>
      <c r="D11" s="259"/>
      <c r="E11" s="259"/>
      <c r="F11" s="243"/>
      <c r="G11" s="243"/>
      <c r="H11" s="260" t="s">
        <v>7</v>
      </c>
      <c r="I11" s="243"/>
      <c r="J11" s="243"/>
      <c r="K11" s="242" t="s">
        <v>8</v>
      </c>
      <c r="L11" s="243"/>
      <c r="M11" s="243"/>
      <c r="N11" s="84"/>
      <c r="O11" s="58"/>
    </row>
    <row r="12" spans="1:15" s="13" customFormat="1" ht="15" customHeight="1">
      <c r="A12" s="129">
        <v>1</v>
      </c>
      <c r="B12" s="130">
        <v>2</v>
      </c>
      <c r="C12" s="130">
        <v>3</v>
      </c>
      <c r="D12" s="130" t="s">
        <v>129</v>
      </c>
      <c r="E12" s="130">
        <v>3</v>
      </c>
      <c r="F12" s="131" t="s">
        <v>130</v>
      </c>
      <c r="G12" s="131">
        <v>3</v>
      </c>
      <c r="H12" s="130">
        <v>4</v>
      </c>
      <c r="I12" s="130" t="s">
        <v>130</v>
      </c>
      <c r="J12" s="130">
        <v>4</v>
      </c>
      <c r="K12" s="130">
        <v>5</v>
      </c>
      <c r="L12" s="130" t="s">
        <v>130</v>
      </c>
      <c r="M12" s="130">
        <v>5</v>
      </c>
      <c r="N12" s="173"/>
      <c r="O12" s="174"/>
    </row>
    <row r="13" spans="1:15" s="17" customFormat="1">
      <c r="A13" s="53" t="s">
        <v>9</v>
      </c>
      <c r="B13" s="132" t="s">
        <v>10</v>
      </c>
      <c r="C13" s="133">
        <f t="shared" ref="C13:K13" si="0">C15+C18+C21+C26+C31+C36+C40+C42+C45+C49+C51</f>
        <v>416587440</v>
      </c>
      <c r="D13" s="133">
        <f t="shared" si="0"/>
        <v>13524558.560000001</v>
      </c>
      <c r="E13" s="133">
        <f t="shared" si="0"/>
        <v>430111998.56</v>
      </c>
      <c r="F13" s="134">
        <f t="shared" si="0"/>
        <v>23653900.850000001</v>
      </c>
      <c r="G13" s="134">
        <f t="shared" si="0"/>
        <v>453765899.41000003</v>
      </c>
      <c r="H13" s="133">
        <f t="shared" si="0"/>
        <v>428404557</v>
      </c>
      <c r="I13" s="133"/>
      <c r="J13" s="133">
        <f t="shared" ref="J13" si="1">J15+J18+J21+J26+J31+J36+J40+J42+J45+J49+J51</f>
        <v>428404557</v>
      </c>
      <c r="K13" s="133">
        <f t="shared" si="0"/>
        <v>438630740</v>
      </c>
      <c r="L13" s="133"/>
      <c r="M13" s="133">
        <f t="shared" ref="M13" si="2">M15+M18+M21+M26+M31+M36+M40+M42+M45+M49+M51</f>
        <v>438630740</v>
      </c>
      <c r="N13" s="84"/>
      <c r="O13" s="84"/>
    </row>
    <row r="14" spans="1:15" s="17" customFormat="1">
      <c r="A14" s="53"/>
      <c r="B14" s="135"/>
      <c r="C14" s="136"/>
      <c r="D14" s="136"/>
      <c r="E14" s="136"/>
      <c r="F14" s="137"/>
      <c r="G14" s="138"/>
      <c r="H14" s="139"/>
      <c r="I14" s="139"/>
      <c r="J14" s="139"/>
      <c r="K14" s="139"/>
      <c r="L14" s="139"/>
      <c r="M14" s="139"/>
      <c r="N14" s="84"/>
      <c r="O14" s="84"/>
    </row>
    <row r="15" spans="1:15" s="17" customFormat="1">
      <c r="A15" s="140" t="s">
        <v>11</v>
      </c>
      <c r="B15" s="135" t="s">
        <v>12</v>
      </c>
      <c r="C15" s="141">
        <f>C16</f>
        <v>285638123</v>
      </c>
      <c r="D15" s="141">
        <f t="shared" ref="D15:G15" si="3">D16</f>
        <v>13524558.560000001</v>
      </c>
      <c r="E15" s="141">
        <f t="shared" si="3"/>
        <v>299162681.56</v>
      </c>
      <c r="F15" s="134">
        <f t="shared" si="3"/>
        <v>23653900.850000001</v>
      </c>
      <c r="G15" s="142">
        <f t="shared" si="3"/>
        <v>322816582.41000003</v>
      </c>
      <c r="H15" s="141">
        <f>H16</f>
        <v>298387792</v>
      </c>
      <c r="I15" s="133"/>
      <c r="J15" s="141">
        <f>J16</f>
        <v>298387792</v>
      </c>
      <c r="K15" s="141">
        <f>K16</f>
        <v>306680483</v>
      </c>
      <c r="L15" s="133"/>
      <c r="M15" s="141">
        <f>M16</f>
        <v>306680483</v>
      </c>
      <c r="N15" s="84">
        <f>G16-C16</f>
        <v>37178459.410000026</v>
      </c>
      <c r="O15" s="84"/>
    </row>
    <row r="16" spans="1:15" s="17" customFormat="1">
      <c r="A16" s="143" t="s">
        <v>13</v>
      </c>
      <c r="B16" s="135" t="s">
        <v>14</v>
      </c>
      <c r="C16" s="141">
        <v>285638123</v>
      </c>
      <c r="D16" s="141">
        <v>13524558.560000001</v>
      </c>
      <c r="E16" s="141">
        <f>285638123+D16</f>
        <v>299162681.56</v>
      </c>
      <c r="F16" s="134">
        <v>23653900.850000001</v>
      </c>
      <c r="G16" s="142">
        <f>E16+F16</f>
        <v>322816582.41000003</v>
      </c>
      <c r="H16" s="141">
        <v>298387792</v>
      </c>
      <c r="I16" s="133"/>
      <c r="J16" s="141">
        <v>298387792</v>
      </c>
      <c r="K16" s="141">
        <v>306680483</v>
      </c>
      <c r="L16" s="133"/>
      <c r="M16" s="141">
        <v>306680483</v>
      </c>
      <c r="N16" s="84"/>
      <c r="O16" s="84"/>
    </row>
    <row r="17" spans="1:15" s="17" customFormat="1">
      <c r="A17" s="143"/>
      <c r="B17" s="135"/>
      <c r="C17" s="144"/>
      <c r="D17" s="144"/>
      <c r="E17" s="144"/>
      <c r="F17" s="145"/>
      <c r="G17" s="145"/>
      <c r="H17" s="146"/>
      <c r="I17" s="146"/>
      <c r="J17" s="146"/>
      <c r="K17" s="146"/>
      <c r="L17" s="146"/>
      <c r="M17" s="146"/>
      <c r="N17" s="84"/>
      <c r="O17" s="84"/>
    </row>
    <row r="18" spans="1:15" s="17" customFormat="1" ht="39.6">
      <c r="A18" s="147" t="s">
        <v>15</v>
      </c>
      <c r="B18" s="135" t="s">
        <v>16</v>
      </c>
      <c r="C18" s="141">
        <f>C19</f>
        <v>41304236</v>
      </c>
      <c r="D18" s="141"/>
      <c r="E18" s="141">
        <f>E19</f>
        <v>41304236</v>
      </c>
      <c r="F18" s="134"/>
      <c r="G18" s="142">
        <f>G19</f>
        <v>41304236</v>
      </c>
      <c r="H18" s="141">
        <f>H19</f>
        <v>42231315</v>
      </c>
      <c r="I18" s="133"/>
      <c r="J18" s="141">
        <f>J19</f>
        <v>42231315</v>
      </c>
      <c r="K18" s="141">
        <f>K19</f>
        <v>43293645</v>
      </c>
      <c r="L18" s="133"/>
      <c r="M18" s="141">
        <f>M19</f>
        <v>43293645</v>
      </c>
      <c r="N18" s="84"/>
      <c r="O18" s="84"/>
    </row>
    <row r="19" spans="1:15" s="17" customFormat="1" ht="26.4">
      <c r="A19" s="143" t="s">
        <v>17</v>
      </c>
      <c r="B19" s="135" t="s">
        <v>18</v>
      </c>
      <c r="C19" s="141">
        <v>41304236</v>
      </c>
      <c r="D19" s="141"/>
      <c r="E19" s="141">
        <v>41304236</v>
      </c>
      <c r="F19" s="134"/>
      <c r="G19" s="142">
        <v>41304236</v>
      </c>
      <c r="H19" s="141">
        <v>42231315</v>
      </c>
      <c r="I19" s="133"/>
      <c r="J19" s="141">
        <v>42231315</v>
      </c>
      <c r="K19" s="141">
        <v>43293645</v>
      </c>
      <c r="L19" s="133"/>
      <c r="M19" s="141">
        <v>43293645</v>
      </c>
      <c r="N19" s="84"/>
      <c r="O19" s="84"/>
    </row>
    <row r="20" spans="1:15" s="17" customFormat="1">
      <c r="A20" s="143"/>
      <c r="B20" s="135"/>
      <c r="C20" s="144"/>
      <c r="D20" s="144"/>
      <c r="E20" s="144"/>
      <c r="F20" s="145"/>
      <c r="G20" s="145"/>
      <c r="H20" s="146"/>
      <c r="I20" s="146"/>
      <c r="J20" s="146"/>
      <c r="K20" s="146"/>
      <c r="L20" s="146"/>
      <c r="M20" s="146"/>
      <c r="N20" s="84"/>
      <c r="O20" s="84"/>
    </row>
    <row r="21" spans="1:15" s="17" customFormat="1">
      <c r="A21" s="147" t="s">
        <v>19</v>
      </c>
      <c r="B21" s="135" t="s">
        <v>20</v>
      </c>
      <c r="C21" s="141">
        <f>C22+C23+C24</f>
        <v>20101000</v>
      </c>
      <c r="D21" s="141"/>
      <c r="E21" s="141">
        <f>E22+E23+E24</f>
        <v>20101000</v>
      </c>
      <c r="F21" s="134"/>
      <c r="G21" s="142">
        <f>G22+G23+G24</f>
        <v>20101000</v>
      </c>
      <c r="H21" s="141">
        <f>H22+H23+H24</f>
        <v>20822626</v>
      </c>
      <c r="I21" s="133"/>
      <c r="J21" s="141">
        <f>J22+J23+J24</f>
        <v>20822626</v>
      </c>
      <c r="K21" s="141">
        <f>K22+K23+K24</f>
        <v>21668025</v>
      </c>
      <c r="L21" s="133"/>
      <c r="M21" s="141">
        <f>M22+M23+M24</f>
        <v>21668025</v>
      </c>
      <c r="N21" s="84"/>
      <c r="O21" s="84"/>
    </row>
    <row r="22" spans="1:15" s="17" customFormat="1" ht="26.4">
      <c r="A22" s="143" t="s">
        <v>21</v>
      </c>
      <c r="B22" s="135" t="s">
        <v>22</v>
      </c>
      <c r="C22" s="141">
        <v>16968000</v>
      </c>
      <c r="D22" s="141"/>
      <c r="E22" s="141">
        <v>16968000</v>
      </c>
      <c r="F22" s="134"/>
      <c r="G22" s="142">
        <v>16968000</v>
      </c>
      <c r="H22" s="141">
        <v>17577151</v>
      </c>
      <c r="I22" s="133"/>
      <c r="J22" s="141">
        <v>17577151</v>
      </c>
      <c r="K22" s="141">
        <v>18290783</v>
      </c>
      <c r="L22" s="133"/>
      <c r="M22" s="141">
        <v>18290783</v>
      </c>
      <c r="N22" s="84"/>
      <c r="O22" s="84"/>
    </row>
    <row r="23" spans="1:15" s="17" customFormat="1">
      <c r="A23" s="143" t="s">
        <v>23</v>
      </c>
      <c r="B23" s="135" t="s">
        <v>24</v>
      </c>
      <c r="C23" s="141">
        <v>9000</v>
      </c>
      <c r="D23" s="141"/>
      <c r="E23" s="141">
        <v>9000</v>
      </c>
      <c r="F23" s="134"/>
      <c r="G23" s="142">
        <v>9000</v>
      </c>
      <c r="H23" s="141">
        <v>9323</v>
      </c>
      <c r="I23" s="133"/>
      <c r="J23" s="141">
        <v>9323</v>
      </c>
      <c r="K23" s="141">
        <v>9702</v>
      </c>
      <c r="L23" s="133"/>
      <c r="M23" s="141">
        <v>9702</v>
      </c>
      <c r="N23" s="84"/>
      <c r="O23" s="84"/>
    </row>
    <row r="24" spans="1:15" s="17" customFormat="1" ht="26.4">
      <c r="A24" s="143" t="s">
        <v>25</v>
      </c>
      <c r="B24" s="135" t="s">
        <v>26</v>
      </c>
      <c r="C24" s="141">
        <v>3124000</v>
      </c>
      <c r="D24" s="141"/>
      <c r="E24" s="141">
        <v>3124000</v>
      </c>
      <c r="F24" s="134"/>
      <c r="G24" s="142">
        <v>3124000</v>
      </c>
      <c r="H24" s="141">
        <v>3236152</v>
      </c>
      <c r="I24" s="133"/>
      <c r="J24" s="141">
        <v>3236152</v>
      </c>
      <c r="K24" s="141">
        <v>3367540</v>
      </c>
      <c r="L24" s="133"/>
      <c r="M24" s="141">
        <v>3367540</v>
      </c>
      <c r="N24" s="84"/>
      <c r="O24" s="84"/>
    </row>
    <row r="25" spans="1:15" s="17" customFormat="1">
      <c r="A25" s="143"/>
      <c r="B25" s="135"/>
      <c r="C25" s="141"/>
      <c r="D25" s="141"/>
      <c r="E25" s="141"/>
      <c r="F25" s="134"/>
      <c r="G25" s="142"/>
      <c r="H25" s="146"/>
      <c r="I25" s="146"/>
      <c r="J25" s="146"/>
      <c r="K25" s="146"/>
      <c r="L25" s="146"/>
      <c r="M25" s="146"/>
      <c r="N25" s="84"/>
      <c r="O25" s="84"/>
    </row>
    <row r="26" spans="1:15" s="17" customFormat="1">
      <c r="A26" s="147" t="s">
        <v>27</v>
      </c>
      <c r="B26" s="135" t="s">
        <v>28</v>
      </c>
      <c r="C26" s="141">
        <f>C27+C28+C29</f>
        <v>42074925</v>
      </c>
      <c r="D26" s="141"/>
      <c r="E26" s="141">
        <f>E27+E28+E29</f>
        <v>42074925</v>
      </c>
      <c r="F26" s="134"/>
      <c r="G26" s="142">
        <f>G27+G28+G29</f>
        <v>42074925</v>
      </c>
      <c r="H26" s="141">
        <f>H27+H28+H29</f>
        <v>39788668</v>
      </c>
      <c r="I26" s="133"/>
      <c r="J26" s="141">
        <f>J27+J28+J29</f>
        <v>39788668</v>
      </c>
      <c r="K26" s="141">
        <f>K27+K28+K29</f>
        <v>39768431</v>
      </c>
      <c r="L26" s="133"/>
      <c r="M26" s="141">
        <f>M27+M28+M29</f>
        <v>39768431</v>
      </c>
      <c r="N26" s="84"/>
      <c r="O26" s="84"/>
    </row>
    <row r="27" spans="1:15" s="17" customFormat="1">
      <c r="A27" s="143" t="s">
        <v>29</v>
      </c>
      <c r="B27" s="135" t="s">
        <v>30</v>
      </c>
      <c r="C27" s="141">
        <v>8032000</v>
      </c>
      <c r="D27" s="141"/>
      <c r="E27" s="141">
        <v>8032000</v>
      </c>
      <c r="F27" s="134"/>
      <c r="G27" s="142">
        <v>8032000</v>
      </c>
      <c r="H27" s="148">
        <v>5766000</v>
      </c>
      <c r="I27" s="149"/>
      <c r="J27" s="148">
        <v>5766000</v>
      </c>
      <c r="K27" s="148">
        <v>5766000</v>
      </c>
      <c r="L27" s="149"/>
      <c r="M27" s="148">
        <v>5766000</v>
      </c>
      <c r="N27" s="84"/>
      <c r="O27" s="84"/>
    </row>
    <row r="28" spans="1:15" s="17" customFormat="1">
      <c r="A28" s="143" t="s">
        <v>31</v>
      </c>
      <c r="B28" s="150" t="s">
        <v>32</v>
      </c>
      <c r="C28" s="141">
        <v>20256925</v>
      </c>
      <c r="D28" s="141"/>
      <c r="E28" s="141">
        <v>20256925</v>
      </c>
      <c r="F28" s="134"/>
      <c r="G28" s="142">
        <v>20256925</v>
      </c>
      <c r="H28" s="148">
        <v>20236668</v>
      </c>
      <c r="I28" s="149"/>
      <c r="J28" s="148">
        <v>20236668</v>
      </c>
      <c r="K28" s="148">
        <v>20216431</v>
      </c>
      <c r="L28" s="149"/>
      <c r="M28" s="148">
        <v>20216431</v>
      </c>
      <c r="N28" s="84"/>
      <c r="O28" s="84"/>
    </row>
    <row r="29" spans="1:15" s="17" customFormat="1">
      <c r="A29" s="143" t="s">
        <v>33</v>
      </c>
      <c r="B29" s="135" t="s">
        <v>34</v>
      </c>
      <c r="C29" s="141">
        <v>13786000</v>
      </c>
      <c r="D29" s="141"/>
      <c r="E29" s="141">
        <v>13786000</v>
      </c>
      <c r="F29" s="134"/>
      <c r="G29" s="142">
        <v>13786000</v>
      </c>
      <c r="H29" s="148">
        <v>13786000</v>
      </c>
      <c r="I29" s="149"/>
      <c r="J29" s="148">
        <v>13786000</v>
      </c>
      <c r="K29" s="148">
        <v>13786000</v>
      </c>
      <c r="L29" s="149"/>
      <c r="M29" s="148">
        <v>13786000</v>
      </c>
      <c r="N29" s="84"/>
      <c r="O29" s="84"/>
    </row>
    <row r="30" spans="1:15" s="17" customFormat="1" ht="13.8">
      <c r="A30" s="143"/>
      <c r="B30" s="135"/>
      <c r="C30" s="151"/>
      <c r="D30" s="151"/>
      <c r="E30" s="151"/>
      <c r="F30" s="152"/>
      <c r="G30" s="153"/>
      <c r="H30" s="146"/>
      <c r="I30" s="146"/>
      <c r="J30" s="146"/>
      <c r="K30" s="146"/>
      <c r="L30" s="146"/>
      <c r="M30" s="146"/>
      <c r="N30" s="84"/>
      <c r="O30" s="84"/>
    </row>
    <row r="31" spans="1:15" s="17" customFormat="1">
      <c r="A31" s="147" t="s">
        <v>35</v>
      </c>
      <c r="B31" s="135" t="s">
        <v>36</v>
      </c>
      <c r="C31" s="141">
        <f>C32+C33+C34</f>
        <v>3031000</v>
      </c>
      <c r="D31" s="141"/>
      <c r="E31" s="141">
        <f>E32+E33+E34</f>
        <v>3031000</v>
      </c>
      <c r="F31" s="134"/>
      <c r="G31" s="142">
        <f>G32+G33+G34</f>
        <v>3031000</v>
      </c>
      <c r="H31" s="141">
        <f>H32+H33+H34</f>
        <v>3122000</v>
      </c>
      <c r="I31" s="133"/>
      <c r="J31" s="141">
        <f>J32+J33+J34</f>
        <v>3122000</v>
      </c>
      <c r="K31" s="141">
        <f>K32+K33+K34</f>
        <v>3229000</v>
      </c>
      <c r="L31" s="133"/>
      <c r="M31" s="141">
        <f>M32+M33+M34</f>
        <v>3229000</v>
      </c>
      <c r="N31" s="84"/>
      <c r="O31" s="84"/>
    </row>
    <row r="32" spans="1:15" s="17" customFormat="1" ht="31.95" customHeight="1">
      <c r="A32" s="143" t="s">
        <v>37</v>
      </c>
      <c r="B32" s="135" t="s">
        <v>38</v>
      </c>
      <c r="C32" s="141">
        <f>3031000-C33-C34</f>
        <v>2406000</v>
      </c>
      <c r="D32" s="141"/>
      <c r="E32" s="141">
        <f>3031000-E33-E34</f>
        <v>2406000</v>
      </c>
      <c r="F32" s="134"/>
      <c r="G32" s="142">
        <f>3031000-G33-G34</f>
        <v>2406000</v>
      </c>
      <c r="H32" s="141">
        <f>3122000-H33-H34</f>
        <v>2502000</v>
      </c>
      <c r="I32" s="133"/>
      <c r="J32" s="141">
        <f>3122000-J33-J34</f>
        <v>2502000</v>
      </c>
      <c r="K32" s="141">
        <f>3229000-K33-K34</f>
        <v>2579000</v>
      </c>
      <c r="L32" s="133"/>
      <c r="M32" s="141">
        <f>3229000-M33-M34</f>
        <v>2579000</v>
      </c>
      <c r="N32" s="84"/>
      <c r="O32" s="84"/>
    </row>
    <row r="33" spans="1:15" s="17" customFormat="1" ht="45" customHeight="1">
      <c r="A33" s="143" t="s">
        <v>39</v>
      </c>
      <c r="B33" s="135" t="s">
        <v>40</v>
      </c>
      <c r="C33" s="141">
        <v>125000</v>
      </c>
      <c r="D33" s="141"/>
      <c r="E33" s="141">
        <v>125000</v>
      </c>
      <c r="F33" s="134"/>
      <c r="G33" s="142">
        <v>125000</v>
      </c>
      <c r="H33" s="141">
        <v>120000</v>
      </c>
      <c r="I33" s="133"/>
      <c r="J33" s="141">
        <v>120000</v>
      </c>
      <c r="K33" s="141">
        <v>150000</v>
      </c>
      <c r="L33" s="133"/>
      <c r="M33" s="141">
        <v>150000</v>
      </c>
      <c r="N33" s="84"/>
      <c r="O33" s="84"/>
    </row>
    <row r="34" spans="1:15" s="17" customFormat="1" ht="39.6">
      <c r="A34" s="143" t="s">
        <v>41</v>
      </c>
      <c r="B34" s="135" t="s">
        <v>42</v>
      </c>
      <c r="C34" s="141">
        <v>500000</v>
      </c>
      <c r="D34" s="141"/>
      <c r="E34" s="141">
        <v>500000</v>
      </c>
      <c r="F34" s="134"/>
      <c r="G34" s="142">
        <v>500000</v>
      </c>
      <c r="H34" s="141">
        <v>500000</v>
      </c>
      <c r="I34" s="133"/>
      <c r="J34" s="141">
        <v>500000</v>
      </c>
      <c r="K34" s="141">
        <v>500000</v>
      </c>
      <c r="L34" s="133"/>
      <c r="M34" s="141">
        <v>500000</v>
      </c>
      <c r="N34" s="84"/>
      <c r="O34" s="84"/>
    </row>
    <row r="35" spans="1:15" s="17" customFormat="1" ht="13.8">
      <c r="A35" s="143"/>
      <c r="B35" s="135"/>
      <c r="C35" s="151"/>
      <c r="D35" s="151"/>
      <c r="E35" s="151"/>
      <c r="F35" s="152"/>
      <c r="G35" s="153"/>
      <c r="H35" s="146"/>
      <c r="I35" s="146"/>
      <c r="J35" s="146"/>
      <c r="K35" s="146"/>
      <c r="L35" s="146"/>
      <c r="M35" s="146"/>
      <c r="N35" s="84"/>
      <c r="O35" s="84"/>
    </row>
    <row r="36" spans="1:15" s="17" customFormat="1" ht="39.6">
      <c r="A36" s="140" t="s">
        <v>43</v>
      </c>
      <c r="B36" s="135" t="s">
        <v>44</v>
      </c>
      <c r="C36" s="141">
        <f>C37+C38</f>
        <v>20237000</v>
      </c>
      <c r="D36" s="141"/>
      <c r="E36" s="141">
        <f>E37+E38</f>
        <v>20237000</v>
      </c>
      <c r="F36" s="134"/>
      <c r="G36" s="142">
        <f>G37+G38</f>
        <v>20237000</v>
      </c>
      <c r="H36" s="141">
        <f>H37+H38</f>
        <v>20205000</v>
      </c>
      <c r="I36" s="133"/>
      <c r="J36" s="141">
        <f>J37+J38</f>
        <v>20205000</v>
      </c>
      <c r="K36" s="141">
        <f>K37+K38</f>
        <v>20205000</v>
      </c>
      <c r="L36" s="133"/>
      <c r="M36" s="141">
        <f>M37+M38</f>
        <v>20205000</v>
      </c>
      <c r="N36" s="84"/>
      <c r="O36" s="84"/>
    </row>
    <row r="37" spans="1:15" ht="92.4">
      <c r="A37" s="143" t="s">
        <v>45</v>
      </c>
      <c r="B37" s="135" t="s">
        <v>46</v>
      </c>
      <c r="C37" s="141">
        <f>7300000+1100000+1803000</f>
        <v>10203000</v>
      </c>
      <c r="D37" s="141"/>
      <c r="E37" s="141">
        <f>7300000+1100000+1803000</f>
        <v>10203000</v>
      </c>
      <c r="F37" s="134"/>
      <c r="G37" s="142">
        <f>7300000+1100000+1803000</f>
        <v>10203000</v>
      </c>
      <c r="H37" s="141">
        <f>7300000+1100000+1771000</f>
        <v>10171000</v>
      </c>
      <c r="I37" s="133"/>
      <c r="J37" s="141">
        <f>7300000+1100000+1771000</f>
        <v>10171000</v>
      </c>
      <c r="K37" s="141">
        <f>7300000+1100000+1771000</f>
        <v>10171000</v>
      </c>
      <c r="L37" s="133"/>
      <c r="M37" s="141">
        <f>7300000+1100000+1771000</f>
        <v>10171000</v>
      </c>
      <c r="N37" s="84"/>
      <c r="O37" s="58"/>
    </row>
    <row r="38" spans="1:15" ht="79.2">
      <c r="A38" s="154" t="s">
        <v>47</v>
      </c>
      <c r="B38" s="135" t="s">
        <v>48</v>
      </c>
      <c r="C38" s="141">
        <v>10034000</v>
      </c>
      <c r="D38" s="141"/>
      <c r="E38" s="141">
        <v>10034000</v>
      </c>
      <c r="F38" s="134"/>
      <c r="G38" s="142">
        <v>10034000</v>
      </c>
      <c r="H38" s="141">
        <v>10034000</v>
      </c>
      <c r="I38" s="133"/>
      <c r="J38" s="141">
        <v>10034000</v>
      </c>
      <c r="K38" s="141">
        <v>10034000</v>
      </c>
      <c r="L38" s="133"/>
      <c r="M38" s="141">
        <v>10034000</v>
      </c>
      <c r="N38" s="84"/>
      <c r="O38" s="58"/>
    </row>
    <row r="39" spans="1:15">
      <c r="A39" s="154"/>
      <c r="B39" s="135"/>
      <c r="C39" s="141"/>
      <c r="D39" s="141"/>
      <c r="E39" s="141"/>
      <c r="F39" s="134"/>
      <c r="G39" s="142"/>
      <c r="H39" s="146"/>
      <c r="I39" s="146"/>
      <c r="J39" s="146"/>
      <c r="K39" s="146"/>
      <c r="L39" s="146"/>
      <c r="M39" s="146"/>
      <c r="N39" s="175"/>
      <c r="O39" s="58"/>
    </row>
    <row r="40" spans="1:15" ht="26.4">
      <c r="A40" s="147" t="s">
        <v>49</v>
      </c>
      <c r="B40" s="135" t="s">
        <v>50</v>
      </c>
      <c r="C40" s="141">
        <v>315156</v>
      </c>
      <c r="D40" s="141"/>
      <c r="E40" s="141">
        <v>315156</v>
      </c>
      <c r="F40" s="134"/>
      <c r="G40" s="142">
        <v>315156</v>
      </c>
      <c r="H40" s="141">
        <v>315156</v>
      </c>
      <c r="I40" s="133"/>
      <c r="J40" s="141">
        <v>315156</v>
      </c>
      <c r="K40" s="141">
        <v>315156</v>
      </c>
      <c r="L40" s="133"/>
      <c r="M40" s="141">
        <v>315156</v>
      </c>
      <c r="N40" s="176"/>
      <c r="O40" s="58"/>
    </row>
    <row r="41" spans="1:15">
      <c r="A41" s="143"/>
      <c r="B41" s="135"/>
      <c r="C41" s="141"/>
      <c r="D41" s="141"/>
      <c r="E41" s="141"/>
      <c r="F41" s="134"/>
      <c r="G41" s="142"/>
      <c r="H41" s="141"/>
      <c r="I41" s="133"/>
      <c r="J41" s="141"/>
      <c r="K41" s="141"/>
      <c r="L41" s="133"/>
      <c r="M41" s="141"/>
      <c r="N41" s="175"/>
      <c r="O41" s="58"/>
    </row>
    <row r="42" spans="1:15" s="34" customFormat="1" ht="26.4">
      <c r="A42" s="147" t="s">
        <v>51</v>
      </c>
      <c r="B42" s="135" t="s">
        <v>52</v>
      </c>
      <c r="C42" s="141">
        <f>C43</f>
        <v>200000</v>
      </c>
      <c r="D42" s="141"/>
      <c r="E42" s="141">
        <f>E43</f>
        <v>200000</v>
      </c>
      <c r="F42" s="134"/>
      <c r="G42" s="142">
        <f>G43</f>
        <v>200000</v>
      </c>
      <c r="H42" s="141">
        <f>H43</f>
        <v>200000</v>
      </c>
      <c r="I42" s="133"/>
      <c r="J42" s="141">
        <f>J43</f>
        <v>200000</v>
      </c>
      <c r="K42" s="141">
        <f>K43</f>
        <v>200000</v>
      </c>
      <c r="L42" s="133"/>
      <c r="M42" s="141">
        <f>M43</f>
        <v>200000</v>
      </c>
      <c r="N42" s="84"/>
      <c r="O42" s="177"/>
    </row>
    <row r="43" spans="1:15" s="34" customFormat="1">
      <c r="A43" s="143" t="s">
        <v>53</v>
      </c>
      <c r="B43" s="135" t="s">
        <v>54</v>
      </c>
      <c r="C43" s="141">
        <v>200000</v>
      </c>
      <c r="D43" s="141"/>
      <c r="E43" s="141">
        <v>200000</v>
      </c>
      <c r="F43" s="134"/>
      <c r="G43" s="142">
        <v>200000</v>
      </c>
      <c r="H43" s="141">
        <v>200000</v>
      </c>
      <c r="I43" s="133"/>
      <c r="J43" s="141">
        <v>200000</v>
      </c>
      <c r="K43" s="141">
        <v>200000</v>
      </c>
      <c r="L43" s="133"/>
      <c r="M43" s="141">
        <v>200000</v>
      </c>
      <c r="N43" s="84"/>
      <c r="O43" s="177"/>
    </row>
    <row r="44" spans="1:15" s="34" customFormat="1">
      <c r="A44" s="143"/>
      <c r="B44" s="135"/>
      <c r="C44" s="141"/>
      <c r="D44" s="141"/>
      <c r="E44" s="141"/>
      <c r="F44" s="134"/>
      <c r="G44" s="142"/>
      <c r="H44" s="141"/>
      <c r="I44" s="133"/>
      <c r="J44" s="141"/>
      <c r="K44" s="141"/>
      <c r="L44" s="133"/>
      <c r="M44" s="141"/>
      <c r="N44" s="84"/>
      <c r="O44" s="177"/>
    </row>
    <row r="45" spans="1:15" s="34" customFormat="1" ht="26.4">
      <c r="A45" s="147" t="s">
        <v>55</v>
      </c>
      <c r="B45" s="135" t="s">
        <v>56</v>
      </c>
      <c r="C45" s="141">
        <f>C46+C47</f>
        <v>1595000</v>
      </c>
      <c r="D45" s="141"/>
      <c r="E45" s="141">
        <f>E46+E47</f>
        <v>1595000</v>
      </c>
      <c r="F45" s="134"/>
      <c r="G45" s="142">
        <f>G46+G47</f>
        <v>1595000</v>
      </c>
      <c r="H45" s="141">
        <f>H46+H47</f>
        <v>1241000</v>
      </c>
      <c r="I45" s="133"/>
      <c r="J45" s="141">
        <f>J46+J47</f>
        <v>1241000</v>
      </c>
      <c r="K45" s="141">
        <f>K46+K47</f>
        <v>1180000</v>
      </c>
      <c r="L45" s="133"/>
      <c r="M45" s="141">
        <f>M46+M47</f>
        <v>1180000</v>
      </c>
      <c r="N45" s="84"/>
      <c r="O45" s="177"/>
    </row>
    <row r="46" spans="1:15" s="34" customFormat="1" ht="79.2">
      <c r="A46" s="143" t="s">
        <v>57</v>
      </c>
      <c r="B46" s="135" t="s">
        <v>58</v>
      </c>
      <c r="C46" s="141">
        <v>595000</v>
      </c>
      <c r="D46" s="141"/>
      <c r="E46" s="141">
        <v>595000</v>
      </c>
      <c r="F46" s="134"/>
      <c r="G46" s="142">
        <v>595000</v>
      </c>
      <c r="H46" s="141">
        <v>241000</v>
      </c>
      <c r="I46" s="133"/>
      <c r="J46" s="141">
        <v>241000</v>
      </c>
      <c r="K46" s="141">
        <v>180000</v>
      </c>
      <c r="L46" s="133"/>
      <c r="M46" s="141">
        <v>180000</v>
      </c>
      <c r="N46" s="176"/>
      <c r="O46" s="177"/>
    </row>
    <row r="47" spans="1:15" s="34" customFormat="1" ht="39.6">
      <c r="A47" s="143" t="s">
        <v>59</v>
      </c>
      <c r="B47" s="135" t="s">
        <v>60</v>
      </c>
      <c r="C47" s="141">
        <v>1000000</v>
      </c>
      <c r="D47" s="141"/>
      <c r="E47" s="141">
        <v>1000000</v>
      </c>
      <c r="F47" s="134"/>
      <c r="G47" s="142">
        <v>1000000</v>
      </c>
      <c r="H47" s="141">
        <v>1000000</v>
      </c>
      <c r="I47" s="133"/>
      <c r="J47" s="141">
        <v>1000000</v>
      </c>
      <c r="K47" s="141">
        <v>1000000</v>
      </c>
      <c r="L47" s="133"/>
      <c r="M47" s="141">
        <v>1000000</v>
      </c>
      <c r="N47" s="176"/>
      <c r="O47" s="177"/>
    </row>
    <row r="48" spans="1:15" s="34" customFormat="1">
      <c r="A48" s="143"/>
      <c r="B48" s="135"/>
      <c r="C48" s="141"/>
      <c r="D48" s="141"/>
      <c r="E48" s="141"/>
      <c r="F48" s="134"/>
      <c r="G48" s="142"/>
      <c r="H48" s="146"/>
      <c r="I48" s="146"/>
      <c r="J48" s="146"/>
      <c r="K48" s="146"/>
      <c r="L48" s="146"/>
      <c r="M48" s="146"/>
      <c r="N48" s="84"/>
      <c r="O48" s="177"/>
    </row>
    <row r="49" spans="1:15" s="34" customFormat="1">
      <c r="A49" s="147" t="s">
        <v>61</v>
      </c>
      <c r="B49" s="135" t="s">
        <v>62</v>
      </c>
      <c r="C49" s="141">
        <v>2091000</v>
      </c>
      <c r="D49" s="141"/>
      <c r="E49" s="141">
        <v>2091000</v>
      </c>
      <c r="F49" s="134"/>
      <c r="G49" s="142">
        <v>2091000</v>
      </c>
      <c r="H49" s="141">
        <v>2091000</v>
      </c>
      <c r="I49" s="133"/>
      <c r="J49" s="141">
        <v>2091000</v>
      </c>
      <c r="K49" s="141">
        <v>2091000</v>
      </c>
      <c r="L49" s="133"/>
      <c r="M49" s="141">
        <v>2091000</v>
      </c>
      <c r="N49" s="84"/>
      <c r="O49" s="177"/>
    </row>
    <row r="50" spans="1:15" s="34" customFormat="1">
      <c r="A50" s="143"/>
      <c r="B50" s="135"/>
      <c r="C50" s="141"/>
      <c r="D50" s="141"/>
      <c r="E50" s="141"/>
      <c r="F50" s="134"/>
      <c r="G50" s="142"/>
      <c r="H50" s="141"/>
      <c r="I50" s="133"/>
      <c r="J50" s="141"/>
      <c r="K50" s="141"/>
      <c r="L50" s="133"/>
      <c r="M50" s="141"/>
      <c r="N50" s="84"/>
      <c r="O50" s="177"/>
    </row>
    <row r="51" spans="1:15" s="34" customFormat="1">
      <c r="A51" s="147" t="s">
        <v>63</v>
      </c>
      <c r="B51" s="135" t="s">
        <v>64</v>
      </c>
      <c r="C51" s="141">
        <v>0</v>
      </c>
      <c r="D51" s="141"/>
      <c r="E51" s="141">
        <v>0</v>
      </c>
      <c r="F51" s="134"/>
      <c r="G51" s="142">
        <v>0</v>
      </c>
      <c r="H51" s="141">
        <v>0</v>
      </c>
      <c r="I51" s="133"/>
      <c r="J51" s="141">
        <v>0</v>
      </c>
      <c r="K51" s="141">
        <v>0</v>
      </c>
      <c r="L51" s="133"/>
      <c r="M51" s="141">
        <v>0</v>
      </c>
      <c r="N51" s="84"/>
      <c r="O51" s="177"/>
    </row>
    <row r="52" spans="1:15" s="34" customFormat="1">
      <c r="A52" s="143"/>
      <c r="B52" s="135"/>
      <c r="C52" s="141"/>
      <c r="D52" s="141"/>
      <c r="E52" s="141"/>
      <c r="F52" s="134"/>
      <c r="G52" s="142"/>
      <c r="H52" s="141"/>
      <c r="I52" s="133"/>
      <c r="J52" s="141"/>
      <c r="K52" s="141"/>
      <c r="L52" s="133"/>
      <c r="M52" s="141"/>
      <c r="N52" s="84"/>
      <c r="O52" s="177"/>
    </row>
    <row r="53" spans="1:15" s="34" customFormat="1">
      <c r="A53" s="53" t="s">
        <v>65</v>
      </c>
      <c r="B53" s="155" t="s">
        <v>66</v>
      </c>
      <c r="C53" s="156">
        <f>C55+C102</f>
        <v>1831821024.6700001</v>
      </c>
      <c r="D53" s="157">
        <f>D55+D102</f>
        <v>0</v>
      </c>
      <c r="E53" s="157">
        <f>E55+E102</f>
        <v>1831821024.6700001</v>
      </c>
      <c r="F53" s="157">
        <f t="shared" ref="F53:M53" si="4">F55+F102</f>
        <v>1172269655.6500001</v>
      </c>
      <c r="G53" s="157">
        <f t="shared" si="4"/>
        <v>3004090680.3200002</v>
      </c>
      <c r="H53" s="157">
        <f t="shared" si="4"/>
        <v>1854863210.0799999</v>
      </c>
      <c r="I53" s="157">
        <f t="shared" si="4"/>
        <v>142963151.66999999</v>
      </c>
      <c r="J53" s="157">
        <f t="shared" si="4"/>
        <v>1997826361.75</v>
      </c>
      <c r="K53" s="157">
        <f t="shared" si="4"/>
        <v>1906654894.5599999</v>
      </c>
      <c r="L53" s="157">
        <f t="shared" si="4"/>
        <v>220423882.55000001</v>
      </c>
      <c r="M53" s="157">
        <f t="shared" si="4"/>
        <v>2127078777.1099999</v>
      </c>
      <c r="N53" s="84"/>
      <c r="O53" s="177"/>
    </row>
    <row r="54" spans="1:15" s="34" customFormat="1">
      <c r="A54" s="143"/>
      <c r="B54" s="158"/>
      <c r="C54" s="159"/>
      <c r="D54" s="159"/>
      <c r="E54" s="159"/>
      <c r="F54" s="157"/>
      <c r="G54" s="160"/>
      <c r="H54" s="159"/>
      <c r="I54" s="156"/>
      <c r="J54" s="159"/>
      <c r="K54" s="159"/>
      <c r="L54" s="156"/>
      <c r="M54" s="159"/>
      <c r="N54" s="84"/>
      <c r="O54" s="177"/>
    </row>
    <row r="55" spans="1:15" s="34" customFormat="1" ht="39.6">
      <c r="A55" s="140" t="s">
        <v>67</v>
      </c>
      <c r="B55" s="161" t="s">
        <v>68</v>
      </c>
      <c r="C55" s="159">
        <f>C56+C60+C73+C90</f>
        <v>1827087045.6400001</v>
      </c>
      <c r="D55" s="159"/>
      <c r="E55" s="159">
        <f>E56+E60+E73+E90</f>
        <v>1827087045.6400001</v>
      </c>
      <c r="F55" s="160">
        <f t="shared" ref="F55" si="5">F56+F60+F73+F90</f>
        <v>1034873655.6500001</v>
      </c>
      <c r="G55" s="160">
        <f>G56+G60+G73+G90</f>
        <v>2861960701.29</v>
      </c>
      <c r="H55" s="159">
        <f>H56+H60+H73+H90</f>
        <v>1854863210.0799999</v>
      </c>
      <c r="I55" s="159">
        <f t="shared" ref="I55:J55" si="6">I56+I60+I73+I90</f>
        <v>5567151.6699999999</v>
      </c>
      <c r="J55" s="159">
        <f t="shared" si="6"/>
        <v>1860430361.75</v>
      </c>
      <c r="K55" s="159">
        <f>K56+K60+K73+K90</f>
        <v>1906654894.5599999</v>
      </c>
      <c r="L55" s="159">
        <f t="shared" ref="L55:M55" si="7">L56+L60+L73+L90</f>
        <v>83027882.549999997</v>
      </c>
      <c r="M55" s="159">
        <f t="shared" si="7"/>
        <v>1989682777.1099999</v>
      </c>
      <c r="N55" s="84"/>
      <c r="O55" s="177"/>
    </row>
    <row r="56" spans="1:15" s="89" customFormat="1" ht="26.4">
      <c r="A56" s="162" t="s">
        <v>69</v>
      </c>
      <c r="B56" s="54" t="s">
        <v>70</v>
      </c>
      <c r="C56" s="133">
        <f>SUM(C57:C58)</f>
        <v>459597927.19</v>
      </c>
      <c r="D56" s="133"/>
      <c r="E56" s="133">
        <f>SUM(E57:E58)</f>
        <v>459597927.19</v>
      </c>
      <c r="F56" s="134">
        <f t="shared" ref="F56:G56" si="8">SUM(F57:F58)</f>
        <v>0</v>
      </c>
      <c r="G56" s="134">
        <f t="shared" si="8"/>
        <v>459597927.19</v>
      </c>
      <c r="H56" s="133">
        <f>SUM(H57:H58)</f>
        <v>555534416.65999997</v>
      </c>
      <c r="I56" s="133">
        <f t="shared" ref="I56:J56" si="9">SUM(I57:I58)</f>
        <v>0</v>
      </c>
      <c r="J56" s="133">
        <f t="shared" si="9"/>
        <v>555534416.65999997</v>
      </c>
      <c r="K56" s="133">
        <f>SUM(K57:K58)</f>
        <v>584348084.79999995</v>
      </c>
      <c r="L56" s="133">
        <f t="shared" ref="L56:M56" si="10">SUM(L57:L58)</f>
        <v>0</v>
      </c>
      <c r="M56" s="133">
        <f t="shared" si="10"/>
        <v>584348084.79999995</v>
      </c>
      <c r="N56" s="178"/>
      <c r="O56" s="178"/>
    </row>
    <row r="57" spans="1:15" s="17" customFormat="1" ht="26.4">
      <c r="A57" s="163" t="s">
        <v>71</v>
      </c>
      <c r="B57" s="161" t="s">
        <v>72</v>
      </c>
      <c r="C57" s="141">
        <v>78849761.290000007</v>
      </c>
      <c r="D57" s="141"/>
      <c r="E57" s="141">
        <v>78849761.290000007</v>
      </c>
      <c r="F57" s="134"/>
      <c r="G57" s="142">
        <v>78849761.290000007</v>
      </c>
      <c r="H57" s="141">
        <v>70405204.780000001</v>
      </c>
      <c r="I57" s="133"/>
      <c r="J57" s="141">
        <v>70405204.780000001</v>
      </c>
      <c r="K57" s="141">
        <v>82469353.299999997</v>
      </c>
      <c r="L57" s="133"/>
      <c r="M57" s="141">
        <v>82469353.299999997</v>
      </c>
      <c r="N57" s="84"/>
      <c r="O57" s="84"/>
    </row>
    <row r="58" spans="1:15" s="17" customFormat="1" ht="52.8">
      <c r="A58" s="163" t="s">
        <v>73</v>
      </c>
      <c r="B58" s="161" t="s">
        <v>123</v>
      </c>
      <c r="C58" s="141">
        <v>380748165.89999998</v>
      </c>
      <c r="D58" s="141"/>
      <c r="E58" s="141">
        <v>380748165.89999998</v>
      </c>
      <c r="F58" s="134"/>
      <c r="G58" s="142">
        <v>380748165.89999998</v>
      </c>
      <c r="H58" s="141">
        <f>450502757.25+23998756+10627698.63</f>
        <v>485129211.88</v>
      </c>
      <c r="I58" s="133"/>
      <c r="J58" s="141">
        <f>450502757.25+23998756+10627698.63</f>
        <v>485129211.88</v>
      </c>
      <c r="K58" s="141">
        <f>438504754.87+48713278+14660698.63</f>
        <v>501878731.5</v>
      </c>
      <c r="L58" s="133"/>
      <c r="M58" s="141">
        <f>438504754.87+48713278+14660698.63</f>
        <v>501878731.5</v>
      </c>
      <c r="N58" s="84"/>
      <c r="O58" s="84"/>
    </row>
    <row r="59" spans="1:15" s="17" customFormat="1">
      <c r="A59" s="164"/>
      <c r="B59" s="165"/>
      <c r="C59" s="141"/>
      <c r="D59" s="141"/>
      <c r="E59" s="141"/>
      <c r="F59" s="134"/>
      <c r="G59" s="142"/>
      <c r="H59" s="141"/>
      <c r="I59" s="133"/>
      <c r="J59" s="141"/>
      <c r="K59" s="141"/>
      <c r="L59" s="133"/>
      <c r="M59" s="141"/>
      <c r="N59" s="84"/>
      <c r="O59" s="84"/>
    </row>
    <row r="60" spans="1:15" s="89" customFormat="1" ht="39.6">
      <c r="A60" s="162" t="s">
        <v>74</v>
      </c>
      <c r="B60" s="54" t="s">
        <v>75</v>
      </c>
      <c r="C60" s="133">
        <f>SUM(C61:C69)</f>
        <v>331460299.98000002</v>
      </c>
      <c r="D60" s="133"/>
      <c r="E60" s="133">
        <f>SUM(E61:E72)</f>
        <v>331460299.98000002</v>
      </c>
      <c r="F60" s="134">
        <f t="shared" ref="F60:M60" si="11">SUM(F61:F72)</f>
        <v>4471657.6500000004</v>
      </c>
      <c r="G60" s="134">
        <f t="shared" si="11"/>
        <v>335931957.63</v>
      </c>
      <c r="H60" s="133">
        <f t="shared" si="11"/>
        <v>339727537.89999998</v>
      </c>
      <c r="I60" s="133">
        <f t="shared" si="11"/>
        <v>-588911.16999999993</v>
      </c>
      <c r="J60" s="133">
        <f t="shared" si="11"/>
        <v>339138626.73000002</v>
      </c>
      <c r="K60" s="133">
        <f t="shared" si="11"/>
        <v>355567566.81</v>
      </c>
      <c r="L60" s="133">
        <f t="shared" si="11"/>
        <v>-1070037.6300000001</v>
      </c>
      <c r="M60" s="133">
        <f t="shared" si="11"/>
        <v>354497529.18000001</v>
      </c>
      <c r="N60" s="178"/>
      <c r="O60" s="178"/>
    </row>
    <row r="61" spans="1:15" s="17" customFormat="1" ht="52.8">
      <c r="A61" s="163" t="s">
        <v>77</v>
      </c>
      <c r="B61" s="161" t="s">
        <v>78</v>
      </c>
      <c r="C61" s="141">
        <v>18839206.510000002</v>
      </c>
      <c r="D61" s="141"/>
      <c r="E61" s="141">
        <v>18839206.510000002</v>
      </c>
      <c r="F61" s="134">
        <v>-521385.36</v>
      </c>
      <c r="G61" s="142">
        <f>18839206.51+F61</f>
        <v>18317821.150000002</v>
      </c>
      <c r="H61" s="141">
        <v>18913761.379999999</v>
      </c>
      <c r="I61" s="133">
        <v>-1308353.24</v>
      </c>
      <c r="J61" s="141">
        <f>18913761.38+I61</f>
        <v>17605408.140000001</v>
      </c>
      <c r="K61" s="141">
        <v>18709460.149999999</v>
      </c>
      <c r="L61" s="133">
        <v>-1821953.35</v>
      </c>
      <c r="M61" s="141">
        <f>18709460.15+L61</f>
        <v>16887506.799999997</v>
      </c>
      <c r="N61" s="84"/>
      <c r="O61" s="84"/>
    </row>
    <row r="62" spans="1:15" s="17" customFormat="1" ht="54" customHeight="1">
      <c r="A62" s="163" t="s">
        <v>142</v>
      </c>
      <c r="B62" s="161" t="s">
        <v>141</v>
      </c>
      <c r="C62" s="141"/>
      <c r="D62" s="141"/>
      <c r="E62" s="141"/>
      <c r="F62" s="134">
        <v>1209409</v>
      </c>
      <c r="G62" s="142">
        <f>F62</f>
        <v>1209409</v>
      </c>
      <c r="H62" s="141"/>
      <c r="I62" s="133"/>
      <c r="J62" s="141"/>
      <c r="K62" s="141"/>
      <c r="L62" s="133"/>
      <c r="M62" s="141"/>
      <c r="N62" s="84"/>
      <c r="O62" s="84"/>
    </row>
    <row r="63" spans="1:15" s="17" customFormat="1" ht="66">
      <c r="A63" s="163" t="s">
        <v>79</v>
      </c>
      <c r="B63" s="166" t="s">
        <v>124</v>
      </c>
      <c r="C63" s="141">
        <v>383180.16</v>
      </c>
      <c r="D63" s="141"/>
      <c r="E63" s="141">
        <v>383180.16</v>
      </c>
      <c r="F63" s="134">
        <v>-58481.75</v>
      </c>
      <c r="G63" s="142">
        <f>383180.16+F63</f>
        <v>324698.40999999997</v>
      </c>
      <c r="H63" s="141">
        <v>383627.2</v>
      </c>
      <c r="I63" s="133">
        <v>-58516.45</v>
      </c>
      <c r="J63" s="141">
        <f>383627.2+I63</f>
        <v>325110.75</v>
      </c>
      <c r="K63" s="141">
        <v>359641.91</v>
      </c>
      <c r="L63" s="133">
        <v>-26042.799999999999</v>
      </c>
      <c r="M63" s="141">
        <f>359641.91+L63</f>
        <v>333599.11</v>
      </c>
      <c r="N63" s="84"/>
      <c r="O63" s="84"/>
    </row>
    <row r="64" spans="1:15" s="17" customFormat="1" ht="52.8">
      <c r="A64" s="163" t="s">
        <v>80</v>
      </c>
      <c r="B64" s="161" t="s">
        <v>147</v>
      </c>
      <c r="C64" s="141">
        <v>307166640</v>
      </c>
      <c r="D64" s="141"/>
      <c r="E64" s="141">
        <v>307166640</v>
      </c>
      <c r="F64" s="134"/>
      <c r="G64" s="142">
        <f>307166640</f>
        <v>307166640</v>
      </c>
      <c r="H64" s="141">
        <v>318999400</v>
      </c>
      <c r="I64" s="133"/>
      <c r="J64" s="141">
        <v>318999400</v>
      </c>
      <c r="K64" s="141">
        <v>335057530</v>
      </c>
      <c r="L64" s="133"/>
      <c r="M64" s="141">
        <v>335057530</v>
      </c>
      <c r="N64" s="84"/>
      <c r="O64" s="84"/>
    </row>
    <row r="65" spans="1:15" s="17" customFormat="1" ht="56.4" customHeight="1">
      <c r="A65" s="163" t="s">
        <v>138</v>
      </c>
      <c r="B65" s="161" t="s">
        <v>81</v>
      </c>
      <c r="C65" s="141"/>
      <c r="D65" s="141"/>
      <c r="E65" s="141">
        <v>0</v>
      </c>
      <c r="F65" s="134">
        <v>2722317.84</v>
      </c>
      <c r="G65" s="142">
        <f>E65+F65</f>
        <v>2722317.84</v>
      </c>
      <c r="H65" s="141"/>
      <c r="I65" s="133"/>
      <c r="J65" s="141"/>
      <c r="K65" s="141"/>
      <c r="L65" s="133"/>
      <c r="M65" s="141"/>
      <c r="N65" s="84"/>
      <c r="O65" s="84"/>
    </row>
    <row r="66" spans="1:15" s="17" customFormat="1" ht="52.8">
      <c r="A66" s="163" t="s">
        <v>82</v>
      </c>
      <c r="B66" s="166" t="s">
        <v>83</v>
      </c>
      <c r="C66" s="141">
        <v>230136.95999999999</v>
      </c>
      <c r="D66" s="141"/>
      <c r="E66" s="141">
        <v>230136.95999999999</v>
      </c>
      <c r="F66" s="134">
        <v>-2597.48</v>
      </c>
      <c r="G66" s="142">
        <f>230136.96+F66</f>
        <v>227539.47999999998</v>
      </c>
      <c r="H66" s="141">
        <v>230136.95999999999</v>
      </c>
      <c r="I66" s="133">
        <v>-2597.48</v>
      </c>
      <c r="J66" s="141">
        <f>230136.96+I66</f>
        <v>227539.47999999998</v>
      </c>
      <c r="K66" s="141">
        <v>230136.95999999999</v>
      </c>
      <c r="L66" s="133">
        <v>-2597.48</v>
      </c>
      <c r="M66" s="141">
        <f>230136.96+L66</f>
        <v>227539.47999999998</v>
      </c>
      <c r="N66" s="84"/>
      <c r="O66" s="84"/>
    </row>
    <row r="67" spans="1:15" s="17" customFormat="1" ht="39.6">
      <c r="A67" s="163" t="s">
        <v>136</v>
      </c>
      <c r="B67" s="166" t="s">
        <v>83</v>
      </c>
      <c r="C67" s="141">
        <v>1050000</v>
      </c>
      <c r="D67" s="141"/>
      <c r="E67" s="141">
        <v>1050000</v>
      </c>
      <c r="F67" s="134"/>
      <c r="G67" s="142">
        <v>1050000</v>
      </c>
      <c r="H67" s="141">
        <v>945000</v>
      </c>
      <c r="I67" s="133"/>
      <c r="J67" s="141">
        <v>945000</v>
      </c>
      <c r="K67" s="141">
        <v>945000</v>
      </c>
      <c r="L67" s="133"/>
      <c r="M67" s="141">
        <v>945000</v>
      </c>
      <c r="N67" s="84"/>
      <c r="O67" s="84"/>
    </row>
    <row r="68" spans="1:15" s="17" customFormat="1" ht="66">
      <c r="A68" s="163" t="s">
        <v>85</v>
      </c>
      <c r="B68" s="161" t="s">
        <v>83</v>
      </c>
      <c r="C68" s="141">
        <v>245775.75</v>
      </c>
      <c r="D68" s="141"/>
      <c r="E68" s="141">
        <v>245775.75</v>
      </c>
      <c r="F68" s="134"/>
      <c r="G68" s="142">
        <v>245775.75</v>
      </c>
      <c r="H68" s="141">
        <v>255612.36</v>
      </c>
      <c r="I68" s="133"/>
      <c r="J68" s="141">
        <v>255612.36</v>
      </c>
      <c r="K68" s="141">
        <v>265797.78999999998</v>
      </c>
      <c r="L68" s="133"/>
      <c r="M68" s="141">
        <v>265797.78999999998</v>
      </c>
      <c r="N68" s="84"/>
      <c r="O68" s="84"/>
    </row>
    <row r="69" spans="1:15" s="17" customFormat="1" ht="94.5" customHeight="1">
      <c r="A69" s="163" t="s">
        <v>122</v>
      </c>
      <c r="B69" s="161" t="s">
        <v>83</v>
      </c>
      <c r="C69" s="141">
        <v>3545360.6</v>
      </c>
      <c r="D69" s="141"/>
      <c r="E69" s="141">
        <v>3545360.6</v>
      </c>
      <c r="F69" s="134">
        <v>-173300.6</v>
      </c>
      <c r="G69" s="142">
        <f>3545360.6+F69</f>
        <v>3372060</v>
      </c>
      <c r="H69" s="141">
        <v>0</v>
      </c>
      <c r="I69" s="133"/>
      <c r="J69" s="141">
        <v>0</v>
      </c>
      <c r="K69" s="141">
        <v>0</v>
      </c>
      <c r="L69" s="133"/>
      <c r="M69" s="141">
        <v>0</v>
      </c>
      <c r="N69" s="84"/>
      <c r="O69" s="84"/>
    </row>
    <row r="70" spans="1:15" s="17" customFormat="1" ht="44.4" customHeight="1">
      <c r="A70" s="163" t="s">
        <v>144</v>
      </c>
      <c r="B70" s="161" t="s">
        <v>83</v>
      </c>
      <c r="C70" s="141"/>
      <c r="D70" s="141"/>
      <c r="E70" s="141"/>
      <c r="F70" s="134">
        <v>515140</v>
      </c>
      <c r="G70" s="142">
        <f>F70</f>
        <v>515140</v>
      </c>
      <c r="H70" s="141"/>
      <c r="I70" s="133"/>
      <c r="J70" s="141">
        <v>0</v>
      </c>
      <c r="K70" s="141"/>
      <c r="L70" s="133"/>
      <c r="M70" s="141"/>
      <c r="N70" s="84"/>
      <c r="O70" s="84"/>
    </row>
    <row r="71" spans="1:15" s="17" customFormat="1" ht="44.4" customHeight="1">
      <c r="A71" s="163" t="s">
        <v>143</v>
      </c>
      <c r="B71" s="161" t="s">
        <v>83</v>
      </c>
      <c r="C71" s="141"/>
      <c r="D71" s="141"/>
      <c r="E71" s="141"/>
      <c r="F71" s="134">
        <v>780556</v>
      </c>
      <c r="G71" s="142">
        <f>F71</f>
        <v>780556</v>
      </c>
      <c r="H71" s="141"/>
      <c r="I71" s="133">
        <v>780556</v>
      </c>
      <c r="J71" s="141">
        <f>I71</f>
        <v>780556</v>
      </c>
      <c r="K71" s="141"/>
      <c r="L71" s="133">
        <v>780556</v>
      </c>
      <c r="M71" s="141">
        <f>L71</f>
        <v>780556</v>
      </c>
      <c r="N71" s="84"/>
      <c r="O71" s="84"/>
    </row>
    <row r="72" spans="1:15">
      <c r="A72" s="164"/>
      <c r="B72" s="165"/>
      <c r="C72" s="141"/>
      <c r="D72" s="141"/>
      <c r="E72" s="141"/>
      <c r="F72" s="134"/>
      <c r="G72" s="142"/>
      <c r="H72" s="141"/>
      <c r="I72" s="133"/>
      <c r="J72" s="141"/>
      <c r="K72" s="141"/>
      <c r="L72" s="133"/>
      <c r="M72" s="141"/>
      <c r="N72" s="84"/>
      <c r="O72" s="58"/>
    </row>
    <row r="73" spans="1:15" s="88" customFormat="1" ht="26.4">
      <c r="A73" s="162" t="s">
        <v>86</v>
      </c>
      <c r="B73" s="54" t="s">
        <v>87</v>
      </c>
      <c r="C73" s="133">
        <f>SUM(C74:C89)</f>
        <v>961293367.06000006</v>
      </c>
      <c r="D73" s="133"/>
      <c r="E73" s="133">
        <f>SUM(E74:E89)</f>
        <v>961293367.06000006</v>
      </c>
      <c r="F73" s="134">
        <f t="shared" ref="F73:M73" si="12">SUM(F74:F89)</f>
        <v>342050.42</v>
      </c>
      <c r="G73" s="134">
        <f t="shared" si="12"/>
        <v>961635417.48000002</v>
      </c>
      <c r="H73" s="133">
        <f t="shared" si="12"/>
        <v>958033211.4000001</v>
      </c>
      <c r="I73" s="133">
        <f t="shared" si="12"/>
        <v>1759094.26</v>
      </c>
      <c r="J73" s="133">
        <f t="shared" si="12"/>
        <v>959792305.65999997</v>
      </c>
      <c r="K73" s="133">
        <f t="shared" si="12"/>
        <v>965171198.83000004</v>
      </c>
      <c r="L73" s="133">
        <f t="shared" si="12"/>
        <v>-775249.9600000002</v>
      </c>
      <c r="M73" s="133">
        <f t="shared" si="12"/>
        <v>964395948.87</v>
      </c>
      <c r="N73" s="178"/>
      <c r="O73" s="178"/>
    </row>
    <row r="74" spans="1:15" s="3" customFormat="1" ht="26.4">
      <c r="A74" s="163" t="s">
        <v>88</v>
      </c>
      <c r="B74" s="166" t="s">
        <v>89</v>
      </c>
      <c r="C74" s="141">
        <v>451206.49</v>
      </c>
      <c r="D74" s="141"/>
      <c r="E74" s="141">
        <v>451206.49</v>
      </c>
      <c r="F74" s="134"/>
      <c r="G74" s="142">
        <v>451206.49</v>
      </c>
      <c r="H74" s="141">
        <v>455268.55</v>
      </c>
      <c r="I74" s="133"/>
      <c r="J74" s="141">
        <v>455268.55</v>
      </c>
      <c r="K74" s="141">
        <v>471679.29</v>
      </c>
      <c r="L74" s="133"/>
      <c r="M74" s="141">
        <v>471679.29</v>
      </c>
      <c r="N74" s="84"/>
      <c r="O74" s="84"/>
    </row>
    <row r="75" spans="1:15" s="3" customFormat="1" ht="66">
      <c r="A75" s="163" t="s">
        <v>90</v>
      </c>
      <c r="B75" s="161" t="s">
        <v>89</v>
      </c>
      <c r="C75" s="141">
        <v>14000</v>
      </c>
      <c r="D75" s="141"/>
      <c r="E75" s="141">
        <v>14000</v>
      </c>
      <c r="F75" s="134"/>
      <c r="G75" s="142">
        <v>14000</v>
      </c>
      <c r="H75" s="141">
        <v>14000</v>
      </c>
      <c r="I75" s="133"/>
      <c r="J75" s="141">
        <v>14000</v>
      </c>
      <c r="K75" s="141">
        <v>14000</v>
      </c>
      <c r="L75" s="133"/>
      <c r="M75" s="141">
        <v>14000</v>
      </c>
      <c r="N75" s="84"/>
      <c r="O75" s="84"/>
    </row>
    <row r="76" spans="1:15" s="3" customFormat="1" ht="26.4">
      <c r="A76" s="163" t="s">
        <v>91</v>
      </c>
      <c r="B76" s="161" t="s">
        <v>89</v>
      </c>
      <c r="C76" s="141">
        <v>35000</v>
      </c>
      <c r="D76" s="141"/>
      <c r="E76" s="141">
        <v>35000</v>
      </c>
      <c r="F76" s="134"/>
      <c r="G76" s="142">
        <v>35000</v>
      </c>
      <c r="H76" s="141">
        <v>35000</v>
      </c>
      <c r="I76" s="133"/>
      <c r="J76" s="141">
        <v>35000</v>
      </c>
      <c r="K76" s="141">
        <v>35000</v>
      </c>
      <c r="L76" s="133"/>
      <c r="M76" s="141">
        <v>35000</v>
      </c>
      <c r="N76" s="84"/>
      <c r="O76" s="84"/>
    </row>
    <row r="77" spans="1:15" s="3" customFormat="1" ht="66">
      <c r="A77" s="163" t="s">
        <v>92</v>
      </c>
      <c r="B77" s="161" t="s">
        <v>89</v>
      </c>
      <c r="C77" s="141">
        <v>4663289.97</v>
      </c>
      <c r="D77" s="141"/>
      <c r="E77" s="141">
        <v>4663289.97</v>
      </c>
      <c r="F77" s="134"/>
      <c r="G77" s="142">
        <v>4663289.97</v>
      </c>
      <c r="H77" s="141">
        <v>4849832.93</v>
      </c>
      <c r="I77" s="133"/>
      <c r="J77" s="141">
        <v>4849832.93</v>
      </c>
      <c r="K77" s="141">
        <v>5043758.0999999996</v>
      </c>
      <c r="L77" s="133"/>
      <c r="M77" s="141">
        <v>5043758.0999999996</v>
      </c>
      <c r="N77" s="84"/>
      <c r="O77" s="84"/>
    </row>
    <row r="78" spans="1:15" s="3" customFormat="1" ht="79.2">
      <c r="A78" s="163" t="s">
        <v>93</v>
      </c>
      <c r="B78" s="161" t="s">
        <v>89</v>
      </c>
      <c r="C78" s="141">
        <v>56017990.280000001</v>
      </c>
      <c r="D78" s="141"/>
      <c r="E78" s="141">
        <v>56017990.280000001</v>
      </c>
      <c r="F78" s="134"/>
      <c r="G78" s="142">
        <v>56017990.280000001</v>
      </c>
      <c r="H78" s="141">
        <v>59023646.920000002</v>
      </c>
      <c r="I78" s="133"/>
      <c r="J78" s="141">
        <v>59023646.920000002</v>
      </c>
      <c r="K78" s="141">
        <v>59023620.75</v>
      </c>
      <c r="L78" s="133"/>
      <c r="M78" s="141">
        <v>59023620.75</v>
      </c>
      <c r="N78" s="84"/>
      <c r="O78" s="84"/>
    </row>
    <row r="79" spans="1:15" s="91" customFormat="1" ht="52.8">
      <c r="A79" s="167" t="s">
        <v>126</v>
      </c>
      <c r="B79" s="168" t="s">
        <v>89</v>
      </c>
      <c r="C79" s="142">
        <v>22927352.84</v>
      </c>
      <c r="D79" s="142"/>
      <c r="E79" s="142">
        <v>22927352.84</v>
      </c>
      <c r="F79" s="134"/>
      <c r="G79" s="142">
        <v>22927352.84</v>
      </c>
      <c r="H79" s="142">
        <v>0</v>
      </c>
      <c r="I79" s="134"/>
      <c r="J79" s="142">
        <v>0</v>
      </c>
      <c r="K79" s="142">
        <v>0</v>
      </c>
      <c r="L79" s="134"/>
      <c r="M79" s="142">
        <v>0</v>
      </c>
      <c r="N79" s="179"/>
      <c r="O79" s="179"/>
    </row>
    <row r="80" spans="1:15" s="91" customFormat="1" ht="52.8">
      <c r="A80" s="167" t="s">
        <v>127</v>
      </c>
      <c r="B80" s="168" t="s">
        <v>89</v>
      </c>
      <c r="C80" s="142">
        <v>467905.16</v>
      </c>
      <c r="D80" s="142"/>
      <c r="E80" s="142">
        <v>467905.16</v>
      </c>
      <c r="F80" s="134"/>
      <c r="G80" s="142">
        <v>467905.16</v>
      </c>
      <c r="H80" s="142">
        <v>0</v>
      </c>
      <c r="I80" s="134"/>
      <c r="J80" s="142">
        <v>0</v>
      </c>
      <c r="K80" s="142">
        <v>0</v>
      </c>
      <c r="L80" s="134"/>
      <c r="M80" s="142">
        <v>0</v>
      </c>
      <c r="N80" s="179"/>
      <c r="O80" s="179"/>
    </row>
    <row r="81" spans="1:15" s="3" customFormat="1" ht="52.8">
      <c r="A81" s="163" t="s">
        <v>94</v>
      </c>
      <c r="B81" s="161" t="s">
        <v>95</v>
      </c>
      <c r="C81" s="141">
        <v>7755935.4000000004</v>
      </c>
      <c r="D81" s="141"/>
      <c r="E81" s="141">
        <v>7755935.4000000004</v>
      </c>
      <c r="F81" s="134">
        <v>-9398.7000000000007</v>
      </c>
      <c r="G81" s="142">
        <f>7755935.4+F81</f>
        <v>7746536.7000000002</v>
      </c>
      <c r="H81" s="141">
        <v>8162580</v>
      </c>
      <c r="I81" s="133">
        <v>-930850</v>
      </c>
      <c r="J81" s="141">
        <f>8162580+I81</f>
        <v>7231730</v>
      </c>
      <c r="K81" s="141">
        <v>8162250</v>
      </c>
      <c r="L81" s="133">
        <v>-3651530</v>
      </c>
      <c r="M81" s="141">
        <f>8162250+L81</f>
        <v>4510720</v>
      </c>
      <c r="N81" s="84"/>
      <c r="O81" s="84"/>
    </row>
    <row r="82" spans="1:15" s="3" customFormat="1" ht="66">
      <c r="A82" s="163" t="s">
        <v>96</v>
      </c>
      <c r="B82" s="161" t="s">
        <v>97</v>
      </c>
      <c r="C82" s="141">
        <v>7102432.9900000002</v>
      </c>
      <c r="D82" s="141"/>
      <c r="E82" s="141">
        <f>7102432.99+D82</f>
        <v>7102432.9900000002</v>
      </c>
      <c r="F82" s="134">
        <v>106281.64</v>
      </c>
      <c r="G82" s="142">
        <f>7102432.99+F82</f>
        <v>7208714.6299999999</v>
      </c>
      <c r="H82" s="141">
        <v>7308981.79</v>
      </c>
      <c r="I82" s="133">
        <v>327593.87</v>
      </c>
      <c r="J82" s="141">
        <f>7308981.79+I82</f>
        <v>7636575.6600000001</v>
      </c>
      <c r="K82" s="141">
        <v>7563946.2699999996</v>
      </c>
      <c r="L82" s="133">
        <v>331892.99</v>
      </c>
      <c r="M82" s="141">
        <f>7563946.27+L82</f>
        <v>7895839.2599999998</v>
      </c>
      <c r="N82" s="84"/>
      <c r="O82" s="84"/>
    </row>
    <row r="83" spans="1:15" s="3" customFormat="1" ht="52.8">
      <c r="A83" s="167" t="s">
        <v>98</v>
      </c>
      <c r="B83" s="161" t="s">
        <v>99</v>
      </c>
      <c r="C83" s="141">
        <v>2768405.85</v>
      </c>
      <c r="D83" s="141"/>
      <c r="E83" s="141">
        <f>2768405.85+D83</f>
        <v>2768405.85</v>
      </c>
      <c r="F83" s="134">
        <v>125931.3</v>
      </c>
      <c r="G83" s="142">
        <f>2768405.85+F83</f>
        <v>2894337.15</v>
      </c>
      <c r="H83" s="141">
        <v>2873951.95</v>
      </c>
      <c r="I83" s="133">
        <v>323381.2</v>
      </c>
      <c r="J83" s="141">
        <f>2873951.95+I83</f>
        <v>3197333.1500000004</v>
      </c>
      <c r="K83" s="141">
        <v>2997845.9</v>
      </c>
      <c r="L83" s="133">
        <v>505223.05</v>
      </c>
      <c r="M83" s="141">
        <f>2997845.9+L83</f>
        <v>3503068.9499999997</v>
      </c>
      <c r="N83" s="84"/>
      <c r="O83" s="84"/>
    </row>
    <row r="84" spans="1:15" s="3" customFormat="1" ht="52.8">
      <c r="A84" s="163" t="s">
        <v>100</v>
      </c>
      <c r="B84" s="161" t="s">
        <v>101</v>
      </c>
      <c r="C84" s="141">
        <v>1481.71</v>
      </c>
      <c r="D84" s="141"/>
      <c r="E84" s="141">
        <v>1481.71</v>
      </c>
      <c r="F84" s="134">
        <v>3704.34</v>
      </c>
      <c r="G84" s="142">
        <f>1481.71+F84</f>
        <v>5186.05</v>
      </c>
      <c r="H84" s="141">
        <v>1321.79</v>
      </c>
      <c r="I84" s="133">
        <v>4064.11</v>
      </c>
      <c r="J84" s="141">
        <f>1321.79+I84</f>
        <v>5385.9</v>
      </c>
      <c r="K84" s="141">
        <v>1321.95</v>
      </c>
      <c r="L84" s="133">
        <v>129682.01</v>
      </c>
      <c r="M84" s="141">
        <f>1321.95+L84</f>
        <v>131003.95999999999</v>
      </c>
      <c r="N84" s="84"/>
      <c r="O84" s="84"/>
    </row>
    <row r="85" spans="1:15" s="3" customFormat="1" ht="52.8">
      <c r="A85" s="169" t="s">
        <v>102</v>
      </c>
      <c r="B85" s="161" t="s">
        <v>103</v>
      </c>
      <c r="C85" s="141">
        <v>29774615</v>
      </c>
      <c r="D85" s="141"/>
      <c r="E85" s="141">
        <v>29774615</v>
      </c>
      <c r="F85" s="134">
        <v>126160</v>
      </c>
      <c r="G85" s="142">
        <f>29774615+F85</f>
        <v>29900775</v>
      </c>
      <c r="H85" s="141">
        <v>30027030</v>
      </c>
      <c r="I85" s="133">
        <v>252320</v>
      </c>
      <c r="J85" s="141">
        <f>30027030+I85</f>
        <v>30279350</v>
      </c>
      <c r="K85" s="141">
        <v>29900775</v>
      </c>
      <c r="L85" s="133">
        <v>126255</v>
      </c>
      <c r="M85" s="141">
        <f>29900775+L85</f>
        <v>30027030</v>
      </c>
      <c r="N85" s="84"/>
      <c r="O85" s="84"/>
    </row>
    <row r="86" spans="1:15" s="3" customFormat="1" ht="26.4">
      <c r="A86" s="163" t="s">
        <v>104</v>
      </c>
      <c r="B86" s="161" t="s">
        <v>105</v>
      </c>
      <c r="C86" s="141">
        <v>8677923.2799999993</v>
      </c>
      <c r="D86" s="141"/>
      <c r="E86" s="141">
        <v>8677923.2799999993</v>
      </c>
      <c r="F86" s="134"/>
      <c r="G86" s="142">
        <v>8677923.2799999993</v>
      </c>
      <c r="H86" s="141">
        <v>8755102.5099999998</v>
      </c>
      <c r="I86" s="133"/>
      <c r="J86" s="141">
        <v>8755102.5099999998</v>
      </c>
      <c r="K86" s="141">
        <v>9066906.6099999994</v>
      </c>
      <c r="L86" s="133"/>
      <c r="M86" s="141">
        <v>9066906.6099999994</v>
      </c>
      <c r="N86" s="84"/>
      <c r="O86" s="84"/>
    </row>
    <row r="87" spans="1:15" s="3" customFormat="1" ht="26.4">
      <c r="A87" s="163" t="s">
        <v>106</v>
      </c>
      <c r="B87" s="161" t="s">
        <v>107</v>
      </c>
      <c r="C87" s="141">
        <v>780010300</v>
      </c>
      <c r="D87" s="141"/>
      <c r="E87" s="141">
        <v>780010300</v>
      </c>
      <c r="F87" s="134"/>
      <c r="G87" s="142">
        <v>780010300</v>
      </c>
      <c r="H87" s="141">
        <v>813691700</v>
      </c>
      <c r="I87" s="133"/>
      <c r="J87" s="141">
        <v>813691700</v>
      </c>
      <c r="K87" s="141">
        <v>820055300</v>
      </c>
      <c r="L87" s="133"/>
      <c r="M87" s="141">
        <v>820055300</v>
      </c>
      <c r="N87" s="84"/>
      <c r="O87" s="84"/>
    </row>
    <row r="88" spans="1:15" s="3" customFormat="1" ht="52.8">
      <c r="A88" s="163" t="s">
        <v>108</v>
      </c>
      <c r="B88" s="161" t="s">
        <v>107</v>
      </c>
      <c r="C88" s="141">
        <v>40625528.090000004</v>
      </c>
      <c r="D88" s="141"/>
      <c r="E88" s="141">
        <v>40625528.090000004</v>
      </c>
      <c r="F88" s="134">
        <v>-10628.16</v>
      </c>
      <c r="G88" s="142">
        <f>40625528.09+F88</f>
        <v>40614899.930000007</v>
      </c>
      <c r="H88" s="141">
        <v>22834794.960000001</v>
      </c>
      <c r="I88" s="133">
        <v>1782585.08</v>
      </c>
      <c r="J88" s="141">
        <f>22834794.96+I88</f>
        <v>24617380.039999999</v>
      </c>
      <c r="K88" s="141">
        <v>22834794.960000001</v>
      </c>
      <c r="L88" s="133">
        <v>1783226.99</v>
      </c>
      <c r="M88" s="141">
        <f>22834794.96+L88</f>
        <v>24618021.949999999</v>
      </c>
      <c r="N88" s="84"/>
      <c r="O88" s="84"/>
    </row>
    <row r="89" spans="1:15" s="3" customFormat="1">
      <c r="A89" s="163"/>
      <c r="B89" s="161"/>
      <c r="C89" s="141"/>
      <c r="D89" s="141"/>
      <c r="E89" s="141"/>
      <c r="F89" s="134"/>
      <c r="G89" s="142"/>
      <c r="H89" s="141"/>
      <c r="I89" s="133"/>
      <c r="J89" s="141"/>
      <c r="K89" s="141"/>
      <c r="L89" s="133"/>
      <c r="M89" s="141"/>
      <c r="N89" s="84"/>
      <c r="O89" s="84"/>
    </row>
    <row r="90" spans="1:15" s="88" customFormat="1" ht="26.4">
      <c r="A90" s="162" t="s">
        <v>109</v>
      </c>
      <c r="B90" s="54" t="s">
        <v>110</v>
      </c>
      <c r="C90" s="133">
        <f>SUM(C92:C94)</f>
        <v>74735451.409999996</v>
      </c>
      <c r="D90" s="133"/>
      <c r="E90" s="133">
        <f>SUM(E91:E101)</f>
        <v>74735451.409999996</v>
      </c>
      <c r="F90" s="133">
        <f t="shared" ref="F90:G90" si="13">SUM(F91:F101)</f>
        <v>1030059947.58</v>
      </c>
      <c r="G90" s="133">
        <f t="shared" si="13"/>
        <v>1104795398.99</v>
      </c>
      <c r="H90" s="133">
        <f>SUM(H91:H99)</f>
        <v>1568044.12</v>
      </c>
      <c r="I90" s="133">
        <f t="shared" ref="I90:M90" si="14">SUM(I91:I99)</f>
        <v>4396968.58</v>
      </c>
      <c r="J90" s="133">
        <f t="shared" si="14"/>
        <v>5965012.7000000002</v>
      </c>
      <c r="K90" s="133">
        <f t="shared" si="14"/>
        <v>1568044.12</v>
      </c>
      <c r="L90" s="133">
        <f t="shared" si="14"/>
        <v>84873170.140000001</v>
      </c>
      <c r="M90" s="133">
        <f t="shared" si="14"/>
        <v>86441214.260000005</v>
      </c>
      <c r="N90" s="178"/>
      <c r="O90" s="178"/>
    </row>
    <row r="91" spans="1:15" s="3" customFormat="1" ht="79.95" customHeight="1">
      <c r="A91" s="163" t="s">
        <v>135</v>
      </c>
      <c r="B91" s="161" t="s">
        <v>134</v>
      </c>
      <c r="C91" s="141"/>
      <c r="D91" s="141"/>
      <c r="E91" s="141">
        <v>0</v>
      </c>
      <c r="F91" s="134">
        <v>4396968.58</v>
      </c>
      <c r="G91" s="142">
        <f>E91+F91</f>
        <v>4396968.58</v>
      </c>
      <c r="H91" s="141">
        <v>0</v>
      </c>
      <c r="I91" s="133">
        <v>4396968.58</v>
      </c>
      <c r="J91" s="141">
        <f>H91+I91</f>
        <v>4396968.58</v>
      </c>
      <c r="K91" s="141">
        <v>0</v>
      </c>
      <c r="L91" s="133">
        <v>5315495.72</v>
      </c>
      <c r="M91" s="141">
        <f>K91+L91</f>
        <v>5315495.72</v>
      </c>
      <c r="N91" s="84"/>
      <c r="O91" s="84"/>
    </row>
    <row r="92" spans="1:15" ht="26.4">
      <c r="A92" s="163" t="s">
        <v>111</v>
      </c>
      <c r="B92" s="161" t="s">
        <v>112</v>
      </c>
      <c r="C92" s="141">
        <v>1595820.1</v>
      </c>
      <c r="D92" s="141"/>
      <c r="E92" s="141">
        <v>1595820.1</v>
      </c>
      <c r="F92" s="134"/>
      <c r="G92" s="142">
        <f>1595820.1+F92</f>
        <v>1595820.1</v>
      </c>
      <c r="H92" s="141">
        <v>1568044.12</v>
      </c>
      <c r="I92" s="133"/>
      <c r="J92" s="141">
        <v>1568044.12</v>
      </c>
      <c r="K92" s="141">
        <v>1568044.12</v>
      </c>
      <c r="L92" s="133"/>
      <c r="M92" s="141">
        <f>K92+L92</f>
        <v>1568044.12</v>
      </c>
      <c r="N92" s="84"/>
      <c r="O92" s="58"/>
    </row>
    <row r="93" spans="1:15" ht="118.8">
      <c r="A93" s="163" t="s">
        <v>113</v>
      </c>
      <c r="B93" s="161" t="s">
        <v>112</v>
      </c>
      <c r="C93" s="141">
        <v>19631.310000000001</v>
      </c>
      <c r="D93" s="141"/>
      <c r="E93" s="141">
        <v>19631.310000000001</v>
      </c>
      <c r="F93" s="134"/>
      <c r="G93" s="142">
        <v>19631.310000000001</v>
      </c>
      <c r="H93" s="141">
        <v>0</v>
      </c>
      <c r="I93" s="133"/>
      <c r="J93" s="141">
        <v>0</v>
      </c>
      <c r="K93" s="141">
        <v>0</v>
      </c>
      <c r="L93" s="133"/>
      <c r="M93" s="141">
        <f>K93+L93</f>
        <v>0</v>
      </c>
      <c r="N93" s="84"/>
      <c r="O93" s="58"/>
    </row>
    <row r="94" spans="1:15" ht="39.6">
      <c r="A94" s="163" t="s">
        <v>114</v>
      </c>
      <c r="B94" s="161" t="s">
        <v>112</v>
      </c>
      <c r="C94" s="141">
        <v>73120000</v>
      </c>
      <c r="D94" s="141"/>
      <c r="E94" s="141">
        <v>73120000</v>
      </c>
      <c r="F94" s="134"/>
      <c r="G94" s="142">
        <f>73120000+F94</f>
        <v>73120000</v>
      </c>
      <c r="H94" s="141">
        <v>0</v>
      </c>
      <c r="I94" s="133"/>
      <c r="J94" s="141">
        <v>0</v>
      </c>
      <c r="K94" s="141">
        <v>0</v>
      </c>
      <c r="L94" s="133"/>
      <c r="M94" s="141">
        <f>K94+L94</f>
        <v>0</v>
      </c>
      <c r="N94" s="84"/>
      <c r="O94" s="58"/>
    </row>
    <row r="95" spans="1:15" ht="44.4" customHeight="1">
      <c r="A95" s="163" t="s">
        <v>132</v>
      </c>
      <c r="B95" s="161" t="s">
        <v>112</v>
      </c>
      <c r="C95" s="141"/>
      <c r="D95" s="141"/>
      <c r="E95" s="141"/>
      <c r="F95" s="134">
        <v>13629179</v>
      </c>
      <c r="G95" s="142">
        <f>E95+F95</f>
        <v>13629179</v>
      </c>
      <c r="H95" s="141"/>
      <c r="I95" s="133"/>
      <c r="J95" s="141"/>
      <c r="K95" s="141"/>
      <c r="L95" s="133"/>
      <c r="M95" s="141">
        <f t="shared" ref="M95:M99" si="15">K95+L95</f>
        <v>0</v>
      </c>
      <c r="N95" s="84"/>
      <c r="O95" s="58"/>
    </row>
    <row r="96" spans="1:15" ht="52.8">
      <c r="A96" s="163" t="s">
        <v>133</v>
      </c>
      <c r="B96" s="161" t="s">
        <v>112</v>
      </c>
      <c r="C96" s="141"/>
      <c r="D96" s="141"/>
      <c r="E96" s="141"/>
      <c r="F96" s="134">
        <v>1383800</v>
      </c>
      <c r="G96" s="142">
        <f t="shared" ref="G96:G100" si="16">E96+F96</f>
        <v>1383800</v>
      </c>
      <c r="H96" s="141"/>
      <c r="I96" s="133"/>
      <c r="J96" s="141"/>
      <c r="K96" s="141"/>
      <c r="L96" s="133"/>
      <c r="M96" s="141">
        <f t="shared" si="15"/>
        <v>0</v>
      </c>
      <c r="N96" s="84"/>
      <c r="O96" s="58"/>
    </row>
    <row r="97" spans="1:15" ht="42" customHeight="1">
      <c r="A97" s="163" t="s">
        <v>139</v>
      </c>
      <c r="B97" s="161" t="s">
        <v>112</v>
      </c>
      <c r="C97" s="141"/>
      <c r="D97" s="141"/>
      <c r="E97" s="141"/>
      <c r="F97" s="134">
        <v>30575020.420000002</v>
      </c>
      <c r="G97" s="142">
        <f t="shared" si="16"/>
        <v>30575020.420000002</v>
      </c>
      <c r="H97" s="141"/>
      <c r="I97" s="133"/>
      <c r="J97" s="141"/>
      <c r="K97" s="141"/>
      <c r="L97" s="133"/>
      <c r="M97" s="141">
        <f t="shared" si="15"/>
        <v>0</v>
      </c>
      <c r="N97" s="84"/>
      <c r="O97" s="58"/>
    </row>
    <row r="98" spans="1:15" ht="42" customHeight="1">
      <c r="A98" s="163" t="s">
        <v>140</v>
      </c>
      <c r="B98" s="161" t="s">
        <v>112</v>
      </c>
      <c r="C98" s="141"/>
      <c r="D98" s="141"/>
      <c r="E98" s="141"/>
      <c r="F98" s="134">
        <v>0</v>
      </c>
      <c r="G98" s="142">
        <v>0</v>
      </c>
      <c r="H98" s="141"/>
      <c r="I98" s="133"/>
      <c r="J98" s="141"/>
      <c r="K98" s="141"/>
      <c r="L98" s="133">
        <v>79557674.420000002</v>
      </c>
      <c r="M98" s="141">
        <f t="shared" si="15"/>
        <v>79557674.420000002</v>
      </c>
      <c r="N98" s="84"/>
      <c r="O98" s="58"/>
    </row>
    <row r="99" spans="1:15" ht="66" customHeight="1">
      <c r="A99" s="163" t="s">
        <v>137</v>
      </c>
      <c r="B99" s="161" t="s">
        <v>112</v>
      </c>
      <c r="C99" s="141"/>
      <c r="D99" s="141"/>
      <c r="E99" s="141"/>
      <c r="F99" s="134">
        <v>2774979.58</v>
      </c>
      <c r="G99" s="142">
        <f t="shared" si="16"/>
        <v>2774979.58</v>
      </c>
      <c r="H99" s="141"/>
      <c r="I99" s="133"/>
      <c r="J99" s="141"/>
      <c r="K99" s="141"/>
      <c r="L99" s="133"/>
      <c r="M99" s="141">
        <f t="shared" si="15"/>
        <v>0</v>
      </c>
      <c r="N99" s="84"/>
      <c r="O99" s="58"/>
    </row>
    <row r="100" spans="1:15" ht="55.95" customHeight="1">
      <c r="A100" s="163" t="s">
        <v>146</v>
      </c>
      <c r="B100" s="161" t="s">
        <v>112</v>
      </c>
      <c r="C100" s="141"/>
      <c r="D100" s="141"/>
      <c r="E100" s="141"/>
      <c r="F100" s="134">
        <v>977300000</v>
      </c>
      <c r="G100" s="142">
        <f t="shared" si="16"/>
        <v>977300000</v>
      </c>
      <c r="H100" s="141"/>
      <c r="I100" s="133"/>
      <c r="J100" s="141"/>
      <c r="K100" s="141"/>
      <c r="L100" s="133"/>
      <c r="M100" s="141"/>
      <c r="N100" s="84"/>
      <c r="O100" s="58"/>
    </row>
    <row r="101" spans="1:15">
      <c r="A101" s="163"/>
      <c r="B101" s="161"/>
      <c r="C101" s="141"/>
      <c r="D101" s="141"/>
      <c r="E101" s="141"/>
      <c r="F101" s="134"/>
      <c r="G101" s="142"/>
      <c r="H101" s="141"/>
      <c r="I101" s="133"/>
      <c r="J101" s="141"/>
      <c r="K101" s="141"/>
      <c r="L101" s="133"/>
      <c r="M101" s="141"/>
      <c r="N101" s="84"/>
      <c r="O101" s="58"/>
    </row>
    <row r="102" spans="1:15" s="92" customFormat="1" ht="26.4">
      <c r="A102" s="170" t="s">
        <v>115</v>
      </c>
      <c r="B102" s="54" t="s">
        <v>116</v>
      </c>
      <c r="C102" s="133">
        <f>SUM(C103:C105)</f>
        <v>4733979.03</v>
      </c>
      <c r="D102" s="133">
        <f t="shared" ref="D102:L102" si="17">SUM(D103:D105)</f>
        <v>0</v>
      </c>
      <c r="E102" s="133">
        <f t="shared" si="17"/>
        <v>4733979.03</v>
      </c>
      <c r="F102" s="133">
        <f t="shared" si="17"/>
        <v>137396000</v>
      </c>
      <c r="G102" s="133">
        <f t="shared" si="17"/>
        <v>142129979.03</v>
      </c>
      <c r="H102" s="133">
        <f t="shared" si="17"/>
        <v>0</v>
      </c>
      <c r="I102" s="133">
        <f t="shared" si="17"/>
        <v>137396000</v>
      </c>
      <c r="J102" s="133">
        <f t="shared" si="17"/>
        <v>137396000</v>
      </c>
      <c r="K102" s="133">
        <f t="shared" si="17"/>
        <v>0</v>
      </c>
      <c r="L102" s="133">
        <f t="shared" si="17"/>
        <v>137396000</v>
      </c>
      <c r="M102" s="133">
        <f>SUM(M103:M105)</f>
        <v>137396000</v>
      </c>
      <c r="N102" s="178"/>
      <c r="O102" s="98"/>
    </row>
    <row r="103" spans="1:15" s="49" customFormat="1" ht="26.4">
      <c r="A103" s="171" t="s">
        <v>117</v>
      </c>
      <c r="B103" s="168" t="s">
        <v>118</v>
      </c>
      <c r="C103" s="141">
        <v>4733979.03</v>
      </c>
      <c r="D103" s="133">
        <v>0</v>
      </c>
      <c r="E103" s="141">
        <f>C103+D103</f>
        <v>4733979.03</v>
      </c>
      <c r="F103" s="133"/>
      <c r="G103" s="142">
        <v>4733979.03</v>
      </c>
      <c r="H103" s="141"/>
      <c r="I103" s="133"/>
      <c r="J103" s="141">
        <f>H103+I103</f>
        <v>0</v>
      </c>
      <c r="K103" s="141"/>
      <c r="L103" s="133"/>
      <c r="M103" s="141">
        <f>K103+L103</f>
        <v>0</v>
      </c>
      <c r="N103" s="84"/>
      <c r="O103" s="102"/>
    </row>
    <row r="104" spans="1:15" s="49" customFormat="1" ht="52.8">
      <c r="A104" s="171" t="s">
        <v>148</v>
      </c>
      <c r="B104" s="168"/>
      <c r="C104" s="141"/>
      <c r="D104" s="133"/>
      <c r="E104" s="141"/>
      <c r="F104" s="133">
        <v>137396000</v>
      </c>
      <c r="G104" s="141">
        <f>E104+F104</f>
        <v>137396000</v>
      </c>
      <c r="H104" s="141"/>
      <c r="I104" s="133">
        <v>137396000</v>
      </c>
      <c r="J104" s="141">
        <f>H104+I104</f>
        <v>137396000</v>
      </c>
      <c r="K104" s="141"/>
      <c r="L104" s="133">
        <v>137396000</v>
      </c>
      <c r="M104" s="141">
        <f>K104+L104</f>
        <v>137396000</v>
      </c>
      <c r="N104" s="84"/>
      <c r="O104" s="102"/>
    </row>
    <row r="105" spans="1:15">
      <c r="A105" s="163"/>
      <c r="B105" s="161"/>
      <c r="C105" s="141"/>
      <c r="D105" s="141"/>
      <c r="E105" s="141"/>
      <c r="F105" s="134"/>
      <c r="G105" s="142"/>
      <c r="H105" s="141"/>
      <c r="I105" s="133"/>
      <c r="J105" s="141"/>
      <c r="K105" s="141"/>
      <c r="L105" s="133"/>
      <c r="M105" s="141"/>
      <c r="N105" s="84"/>
      <c r="O105" s="58"/>
    </row>
    <row r="106" spans="1:15">
      <c r="A106" s="53" t="s">
        <v>119</v>
      </c>
      <c r="B106" s="54"/>
      <c r="C106" s="133">
        <f t="shared" ref="C106:M106" si="18">C53+C13</f>
        <v>2248408464.6700001</v>
      </c>
      <c r="D106" s="172">
        <f t="shared" si="18"/>
        <v>13524558.560000001</v>
      </c>
      <c r="E106" s="133">
        <f t="shared" si="18"/>
        <v>2261933023.23</v>
      </c>
      <c r="F106" s="134">
        <f t="shared" si="18"/>
        <v>1195923556.5</v>
      </c>
      <c r="G106" s="134">
        <f t="shared" si="18"/>
        <v>3457856579.73</v>
      </c>
      <c r="H106" s="133">
        <f t="shared" si="18"/>
        <v>2283267767.0799999</v>
      </c>
      <c r="I106" s="172">
        <f t="shared" si="18"/>
        <v>142963151.66999999</v>
      </c>
      <c r="J106" s="133">
        <f t="shared" si="18"/>
        <v>2426230918.75</v>
      </c>
      <c r="K106" s="133">
        <f t="shared" si="18"/>
        <v>2345285634.5599999</v>
      </c>
      <c r="L106" s="172">
        <f t="shared" si="18"/>
        <v>220423882.55000001</v>
      </c>
      <c r="M106" s="133">
        <f t="shared" si="18"/>
        <v>2565709517.1099997</v>
      </c>
      <c r="N106" s="84"/>
      <c r="O106" s="58"/>
    </row>
    <row r="107" spans="1:15">
      <c r="C107" s="56"/>
      <c r="D107" s="56"/>
      <c r="E107" s="56">
        <f>C105+D105</f>
        <v>0</v>
      </c>
      <c r="F107" s="105"/>
      <c r="G107" s="103">
        <f>E105+F105</f>
        <v>0</v>
      </c>
      <c r="H107" s="57"/>
      <c r="I107" s="110"/>
      <c r="J107" s="56">
        <f>J106-ПЗ!N5</f>
        <v>1997826361.75</v>
      </c>
      <c r="K107" s="57"/>
      <c r="L107" s="110"/>
      <c r="M107" s="56">
        <f>M106-ПЗ!U5</f>
        <v>2127078777.1099997</v>
      </c>
    </row>
    <row r="108" spans="1:15">
      <c r="C108" s="58"/>
      <c r="D108" s="58"/>
      <c r="E108" s="58"/>
      <c r="F108" s="106"/>
      <c r="G108" s="102"/>
      <c r="H108" s="58"/>
      <c r="I108" s="106"/>
      <c r="J108" s="58"/>
      <c r="K108" s="58"/>
      <c r="L108" s="106"/>
      <c r="M108" s="58"/>
    </row>
    <row r="110" spans="1:15">
      <c r="C110" s="58"/>
      <c r="D110" s="58"/>
      <c r="E110" s="58"/>
      <c r="F110" s="106"/>
      <c r="G110" s="102"/>
    </row>
  </sheetData>
  <mergeCells count="13">
    <mergeCell ref="H1:M1"/>
    <mergeCell ref="C2:M2"/>
    <mergeCell ref="H4:M4"/>
    <mergeCell ref="C5:M5"/>
    <mergeCell ref="H7:M7"/>
    <mergeCell ref="C8:M8"/>
    <mergeCell ref="A10:A11"/>
    <mergeCell ref="B10:B11"/>
    <mergeCell ref="A9:K9"/>
    <mergeCell ref="C11:G11"/>
    <mergeCell ref="H11:J11"/>
    <mergeCell ref="K11:M11"/>
    <mergeCell ref="C10:M10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view="pageBreakPreview" zoomScale="60" zoomScaleNormal="100" workbookViewId="0">
      <selection activeCell="C125" sqref="C125"/>
    </sheetView>
  </sheetViews>
  <sheetFormatPr defaultColWidth="9.109375" defaultRowHeight="13.2"/>
  <cols>
    <col min="1" max="1" width="46.33203125" style="1" customWidth="1"/>
    <col min="2" max="2" width="22.5546875" style="80" customWidth="1"/>
    <col min="3" max="3" width="15.5546875" style="1" customWidth="1"/>
    <col min="4" max="4" width="14.5546875" style="1" customWidth="1"/>
    <col min="5" max="5" width="15.33203125" style="1" customWidth="1"/>
    <col min="6" max="8" width="18.5546875" style="207" customWidth="1"/>
    <col min="9" max="9" width="18.5546875" style="218" customWidth="1"/>
    <col min="10" max="13" width="9.109375" style="120"/>
    <col min="14" max="16" width="9.109375" style="112"/>
    <col min="17" max="16384" width="9.109375" style="1"/>
  </cols>
  <sheetData>
    <row r="1" spans="1:16">
      <c r="B1" s="188"/>
      <c r="D1" s="225" t="s">
        <v>0</v>
      </c>
      <c r="E1" s="225"/>
    </row>
    <row r="2" spans="1:16" ht="33" customHeight="1">
      <c r="B2" s="188"/>
      <c r="C2" s="226" t="s">
        <v>172</v>
      </c>
      <c r="D2" s="226"/>
      <c r="E2" s="226"/>
    </row>
    <row r="3" spans="1:16" ht="9.6" customHeight="1">
      <c r="B3" s="188"/>
      <c r="C3" s="189"/>
      <c r="D3" s="189"/>
      <c r="E3" s="189"/>
    </row>
    <row r="4" spans="1:16">
      <c r="B4" s="182"/>
      <c r="D4" s="225" t="s">
        <v>0</v>
      </c>
      <c r="E4" s="225"/>
    </row>
    <row r="5" spans="1:16" ht="33" customHeight="1">
      <c r="B5" s="182"/>
      <c r="C5" s="226" t="s">
        <v>151</v>
      </c>
      <c r="D5" s="226"/>
      <c r="E5" s="226"/>
    </row>
    <row r="6" spans="1:16" ht="9.6" customHeight="1">
      <c r="B6" s="182"/>
      <c r="C6" s="183"/>
      <c r="D6" s="183"/>
      <c r="E6" s="183"/>
    </row>
    <row r="7" spans="1:16">
      <c r="B7" s="95"/>
      <c r="D7" s="225" t="s">
        <v>0</v>
      </c>
      <c r="E7" s="225"/>
    </row>
    <row r="8" spans="1:16" ht="33" customHeight="1">
      <c r="B8" s="95"/>
      <c r="C8" s="226" t="s">
        <v>131</v>
      </c>
      <c r="D8" s="226"/>
      <c r="E8" s="226"/>
    </row>
    <row r="9" spans="1:16" ht="12" customHeight="1">
      <c r="B9" s="95"/>
      <c r="C9" s="96"/>
      <c r="D9" s="96"/>
      <c r="E9" s="96"/>
    </row>
    <row r="10" spans="1:16">
      <c r="D10" s="225" t="s">
        <v>0</v>
      </c>
      <c r="E10" s="225"/>
    </row>
    <row r="11" spans="1:16" ht="33" customHeight="1">
      <c r="C11" s="226" t="s">
        <v>125</v>
      </c>
      <c r="D11" s="226"/>
      <c r="E11" s="226"/>
    </row>
    <row r="12" spans="1:16" ht="13.2" customHeight="1">
      <c r="C12" s="81"/>
      <c r="D12" s="81"/>
      <c r="E12" s="81"/>
    </row>
    <row r="13" spans="1:16">
      <c r="D13" s="225" t="s">
        <v>0</v>
      </c>
      <c r="E13" s="225"/>
    </row>
    <row r="14" spans="1:16" ht="33" customHeight="1">
      <c r="C14" s="226" t="s">
        <v>1</v>
      </c>
      <c r="D14" s="226"/>
      <c r="E14" s="226"/>
    </row>
    <row r="15" spans="1:16" s="79" customFormat="1" ht="43.95" customHeight="1">
      <c r="A15" s="227" t="s">
        <v>2</v>
      </c>
      <c r="B15" s="227"/>
      <c r="C15" s="228"/>
      <c r="D15" s="228"/>
      <c r="E15" s="228"/>
      <c r="F15" s="208"/>
      <c r="G15" s="208"/>
      <c r="H15" s="208"/>
      <c r="I15" s="219"/>
      <c r="J15" s="121"/>
      <c r="K15" s="121"/>
      <c r="L15" s="121"/>
      <c r="M15" s="121"/>
      <c r="N15" s="113"/>
      <c r="O15" s="113"/>
      <c r="P15" s="113"/>
    </row>
    <row r="16" spans="1:16" ht="21.75" customHeight="1">
      <c r="A16" s="229" t="s">
        <v>3</v>
      </c>
      <c r="B16" s="229" t="s">
        <v>4</v>
      </c>
      <c r="C16" s="231" t="s">
        <v>5</v>
      </c>
      <c r="D16" s="232"/>
      <c r="E16" s="233"/>
    </row>
    <row r="17" spans="1:16" ht="30" customHeight="1">
      <c r="A17" s="230"/>
      <c r="B17" s="230"/>
      <c r="C17" s="4" t="s">
        <v>6</v>
      </c>
      <c r="D17" s="5" t="s">
        <v>7</v>
      </c>
      <c r="E17" s="6" t="s">
        <v>8</v>
      </c>
    </row>
    <row r="18" spans="1:16" s="13" customFormat="1" ht="15" customHeight="1">
      <c r="A18" s="7">
        <v>1</v>
      </c>
      <c r="B18" s="8">
        <v>2</v>
      </c>
      <c r="C18" s="9">
        <v>3</v>
      </c>
      <c r="D18" s="10">
        <v>4</v>
      </c>
      <c r="E18" s="11">
        <v>5</v>
      </c>
      <c r="F18" s="209"/>
      <c r="G18" s="209"/>
      <c r="H18" s="209"/>
      <c r="I18" s="220"/>
      <c r="J18" s="122"/>
      <c r="K18" s="122"/>
      <c r="L18" s="122"/>
      <c r="M18" s="122"/>
      <c r="N18" s="114"/>
      <c r="O18" s="114"/>
      <c r="P18" s="114"/>
    </row>
    <row r="19" spans="1:16" s="17" customFormat="1">
      <c r="A19" s="14" t="s">
        <v>9</v>
      </c>
      <c r="B19" s="15" t="s">
        <v>10</v>
      </c>
      <c r="C19" s="16">
        <v>462765899.41000003</v>
      </c>
      <c r="D19" s="59">
        <v>428404557</v>
      </c>
      <c r="E19" s="60">
        <v>438630740</v>
      </c>
      <c r="F19" s="210"/>
      <c r="G19" s="210"/>
      <c r="H19" s="210"/>
      <c r="I19" s="221"/>
      <c r="J19" s="123"/>
      <c r="K19" s="123"/>
      <c r="L19" s="123"/>
      <c r="M19" s="123"/>
      <c r="N19" s="115"/>
      <c r="O19" s="115"/>
      <c r="P19" s="115"/>
    </row>
    <row r="20" spans="1:16" s="17" customFormat="1">
      <c r="A20" s="14"/>
      <c r="B20" s="18"/>
      <c r="C20" s="19"/>
      <c r="D20" s="61"/>
      <c r="E20" s="62"/>
      <c r="F20" s="210"/>
      <c r="G20" s="210"/>
      <c r="H20" s="210"/>
      <c r="I20" s="221"/>
      <c r="J20" s="123"/>
      <c r="K20" s="123"/>
      <c r="L20" s="123"/>
      <c r="M20" s="123"/>
      <c r="N20" s="115"/>
      <c r="O20" s="115"/>
      <c r="P20" s="115"/>
    </row>
    <row r="21" spans="1:16" s="17" customFormat="1">
      <c r="A21" s="20" t="s">
        <v>11</v>
      </c>
      <c r="B21" s="21" t="s">
        <v>12</v>
      </c>
      <c r="C21" s="22">
        <v>331816582.41000003</v>
      </c>
      <c r="D21" s="26">
        <v>298387792</v>
      </c>
      <c r="E21" s="27">
        <v>306680483</v>
      </c>
      <c r="F21" s="210"/>
      <c r="G21" s="210"/>
      <c r="H21" s="210"/>
      <c r="I21" s="221"/>
      <c r="J21" s="123"/>
      <c r="K21" s="123"/>
      <c r="L21" s="123"/>
      <c r="M21" s="123"/>
      <c r="N21" s="115"/>
      <c r="O21" s="115"/>
      <c r="P21" s="115"/>
    </row>
    <row r="22" spans="1:16" s="17" customFormat="1">
      <c r="A22" s="23" t="s">
        <v>13</v>
      </c>
      <c r="B22" s="21" t="s">
        <v>14</v>
      </c>
      <c r="C22" s="22">
        <v>331816582.41000003</v>
      </c>
      <c r="D22" s="26">
        <v>298387792</v>
      </c>
      <c r="E22" s="27">
        <v>306680483</v>
      </c>
      <c r="F22" s="210"/>
      <c r="G22" s="210"/>
      <c r="H22" s="210"/>
      <c r="I22" s="221"/>
      <c r="J22" s="123"/>
      <c r="K22" s="123"/>
      <c r="L22" s="123"/>
      <c r="M22" s="123"/>
      <c r="N22" s="115"/>
      <c r="O22" s="115"/>
      <c r="P22" s="115"/>
    </row>
    <row r="23" spans="1:16" s="17" customFormat="1">
      <c r="A23" s="23"/>
      <c r="B23" s="21"/>
      <c r="C23" s="24"/>
      <c r="D23" s="63"/>
      <c r="E23" s="64"/>
      <c r="F23" s="210"/>
      <c r="G23" s="210"/>
      <c r="H23" s="210"/>
      <c r="I23" s="221"/>
      <c r="J23" s="123"/>
      <c r="K23" s="123"/>
      <c r="L23" s="123"/>
      <c r="M23" s="123"/>
      <c r="N23" s="115"/>
      <c r="O23" s="115"/>
      <c r="P23" s="115"/>
    </row>
    <row r="24" spans="1:16" s="17" customFormat="1" ht="39.6">
      <c r="A24" s="25" t="s">
        <v>15</v>
      </c>
      <c r="B24" s="21" t="s">
        <v>16</v>
      </c>
      <c r="C24" s="22">
        <v>41304236</v>
      </c>
      <c r="D24" s="26">
        <v>42231315</v>
      </c>
      <c r="E24" s="27">
        <v>43293645</v>
      </c>
      <c r="F24" s="210"/>
      <c r="G24" s="210"/>
      <c r="H24" s="210"/>
      <c r="I24" s="221"/>
      <c r="J24" s="123"/>
      <c r="K24" s="123"/>
      <c r="L24" s="123"/>
      <c r="M24" s="123"/>
      <c r="N24" s="115"/>
      <c r="O24" s="115"/>
      <c r="P24" s="115"/>
    </row>
    <row r="25" spans="1:16" s="17" customFormat="1" ht="26.4">
      <c r="A25" s="23" t="s">
        <v>17</v>
      </c>
      <c r="B25" s="21" t="s">
        <v>18</v>
      </c>
      <c r="C25" s="22">
        <v>41304236</v>
      </c>
      <c r="D25" s="26">
        <v>42231315</v>
      </c>
      <c r="E25" s="27">
        <v>43293645</v>
      </c>
      <c r="F25" s="210"/>
      <c r="G25" s="210"/>
      <c r="H25" s="210"/>
      <c r="I25" s="221"/>
      <c r="J25" s="123"/>
      <c r="K25" s="123"/>
      <c r="L25" s="123"/>
      <c r="M25" s="123"/>
      <c r="N25" s="115"/>
      <c r="O25" s="115"/>
      <c r="P25" s="115"/>
    </row>
    <row r="26" spans="1:16" s="17" customFormat="1">
      <c r="A26" s="23"/>
      <c r="B26" s="21"/>
      <c r="C26" s="24"/>
      <c r="D26" s="63"/>
      <c r="E26" s="64"/>
      <c r="F26" s="210"/>
      <c r="G26" s="210"/>
      <c r="H26" s="210"/>
      <c r="I26" s="221"/>
      <c r="J26" s="123"/>
      <c r="K26" s="123"/>
      <c r="L26" s="123"/>
      <c r="M26" s="123"/>
      <c r="N26" s="115"/>
      <c r="O26" s="115"/>
      <c r="P26" s="115"/>
    </row>
    <row r="27" spans="1:16" s="17" customFormat="1">
      <c r="A27" s="25" t="s">
        <v>19</v>
      </c>
      <c r="B27" s="21" t="s">
        <v>20</v>
      </c>
      <c r="C27" s="22">
        <v>20101000</v>
      </c>
      <c r="D27" s="26">
        <v>20822626</v>
      </c>
      <c r="E27" s="27">
        <v>21668025</v>
      </c>
      <c r="F27" s="210"/>
      <c r="G27" s="210"/>
      <c r="H27" s="210"/>
      <c r="I27" s="221"/>
      <c r="J27" s="123"/>
      <c r="K27" s="123"/>
      <c r="L27" s="123"/>
      <c r="M27" s="123"/>
      <c r="N27" s="115"/>
      <c r="O27" s="115"/>
      <c r="P27" s="115"/>
    </row>
    <row r="28" spans="1:16" s="17" customFormat="1" ht="26.4">
      <c r="A28" s="23" t="s">
        <v>21</v>
      </c>
      <c r="B28" s="21" t="s">
        <v>22</v>
      </c>
      <c r="C28" s="22">
        <v>16968000</v>
      </c>
      <c r="D28" s="26">
        <v>17577151</v>
      </c>
      <c r="E28" s="27">
        <v>18290783</v>
      </c>
      <c r="F28" s="210"/>
      <c r="G28" s="210"/>
      <c r="H28" s="210"/>
      <c r="I28" s="221"/>
      <c r="J28" s="123"/>
      <c r="K28" s="123"/>
      <c r="L28" s="123"/>
      <c r="M28" s="123"/>
      <c r="N28" s="115"/>
      <c r="O28" s="115"/>
      <c r="P28" s="115"/>
    </row>
    <row r="29" spans="1:16" s="17" customFormat="1">
      <c r="A29" s="23" t="s">
        <v>23</v>
      </c>
      <c r="B29" s="21" t="s">
        <v>24</v>
      </c>
      <c r="C29" s="22">
        <v>9000</v>
      </c>
      <c r="D29" s="26">
        <v>9323</v>
      </c>
      <c r="E29" s="27">
        <v>9702</v>
      </c>
      <c r="F29" s="210"/>
      <c r="G29" s="210"/>
      <c r="H29" s="210"/>
      <c r="I29" s="221"/>
      <c r="J29" s="123"/>
      <c r="K29" s="123"/>
      <c r="L29" s="123"/>
      <c r="M29" s="123"/>
      <c r="N29" s="115"/>
      <c r="O29" s="115"/>
      <c r="P29" s="115"/>
    </row>
    <row r="30" spans="1:16" s="17" customFormat="1" ht="26.4">
      <c r="A30" s="23" t="s">
        <v>25</v>
      </c>
      <c r="B30" s="21" t="s">
        <v>26</v>
      </c>
      <c r="C30" s="22">
        <v>3124000</v>
      </c>
      <c r="D30" s="26">
        <v>3236152</v>
      </c>
      <c r="E30" s="27">
        <v>3367540</v>
      </c>
      <c r="F30" s="210"/>
      <c r="G30" s="210"/>
      <c r="H30" s="210"/>
      <c r="I30" s="221"/>
      <c r="J30" s="123"/>
      <c r="K30" s="123"/>
      <c r="L30" s="123"/>
      <c r="M30" s="123"/>
      <c r="N30" s="115"/>
      <c r="O30" s="115"/>
      <c r="P30" s="115"/>
    </row>
    <row r="31" spans="1:16" s="17" customFormat="1">
      <c r="A31" s="23"/>
      <c r="B31" s="21"/>
      <c r="C31" s="22"/>
      <c r="D31" s="63"/>
      <c r="E31" s="64"/>
      <c r="F31" s="210"/>
      <c r="G31" s="210"/>
      <c r="H31" s="210"/>
      <c r="I31" s="221"/>
      <c r="J31" s="123"/>
      <c r="K31" s="123"/>
      <c r="L31" s="123"/>
      <c r="M31" s="123"/>
      <c r="N31" s="115"/>
      <c r="O31" s="115"/>
      <c r="P31" s="115"/>
    </row>
    <row r="32" spans="1:16" s="17" customFormat="1">
      <c r="A32" s="25" t="s">
        <v>27</v>
      </c>
      <c r="B32" s="21" t="s">
        <v>28</v>
      </c>
      <c r="C32" s="22">
        <v>42074925</v>
      </c>
      <c r="D32" s="26">
        <v>39788668</v>
      </c>
      <c r="E32" s="27">
        <v>39768431</v>
      </c>
      <c r="F32" s="210"/>
      <c r="G32" s="210"/>
      <c r="H32" s="210"/>
      <c r="I32" s="221"/>
      <c r="J32" s="123"/>
      <c r="K32" s="123"/>
      <c r="L32" s="123"/>
      <c r="M32" s="123"/>
      <c r="N32" s="115"/>
      <c r="O32" s="115"/>
      <c r="P32" s="115"/>
    </row>
    <row r="33" spans="1:16" s="17" customFormat="1">
      <c r="A33" s="23" t="s">
        <v>29</v>
      </c>
      <c r="B33" s="21" t="s">
        <v>30</v>
      </c>
      <c r="C33" s="22">
        <v>8032000</v>
      </c>
      <c r="D33" s="65">
        <v>5766000</v>
      </c>
      <c r="E33" s="66">
        <v>5766000</v>
      </c>
      <c r="F33" s="210"/>
      <c r="G33" s="210"/>
      <c r="H33" s="210"/>
      <c r="I33" s="221"/>
      <c r="J33" s="123"/>
      <c r="K33" s="123"/>
      <c r="L33" s="123"/>
      <c r="M33" s="123"/>
      <c r="N33" s="115"/>
      <c r="O33" s="115"/>
      <c r="P33" s="115"/>
    </row>
    <row r="34" spans="1:16" s="17" customFormat="1">
      <c r="A34" s="23" t="s">
        <v>31</v>
      </c>
      <c r="B34" s="85" t="s">
        <v>32</v>
      </c>
      <c r="C34" s="22">
        <v>20256925</v>
      </c>
      <c r="D34" s="65">
        <v>20236668</v>
      </c>
      <c r="E34" s="66">
        <v>20216431</v>
      </c>
      <c r="F34" s="210"/>
      <c r="G34" s="210"/>
      <c r="H34" s="210"/>
      <c r="I34" s="221"/>
      <c r="J34" s="123"/>
      <c r="K34" s="123"/>
      <c r="L34" s="123"/>
      <c r="M34" s="123"/>
      <c r="N34" s="115"/>
      <c r="O34" s="115"/>
      <c r="P34" s="115"/>
    </row>
    <row r="35" spans="1:16" s="17" customFormat="1">
      <c r="A35" s="23" t="s">
        <v>33</v>
      </c>
      <c r="B35" s="21" t="s">
        <v>34</v>
      </c>
      <c r="C35" s="22">
        <v>13786000</v>
      </c>
      <c r="D35" s="65">
        <v>13786000</v>
      </c>
      <c r="E35" s="66">
        <v>13786000</v>
      </c>
      <c r="F35" s="210"/>
      <c r="G35" s="210"/>
      <c r="H35" s="210"/>
      <c r="I35" s="221"/>
      <c r="J35" s="123"/>
      <c r="K35" s="123"/>
      <c r="L35" s="123"/>
      <c r="M35" s="123"/>
      <c r="N35" s="115"/>
      <c r="O35" s="115"/>
      <c r="P35" s="115"/>
    </row>
    <row r="36" spans="1:16" s="17" customFormat="1" ht="13.8">
      <c r="A36" s="23"/>
      <c r="B36" s="21"/>
      <c r="C36" s="29"/>
      <c r="D36" s="63"/>
      <c r="E36" s="64"/>
      <c r="F36" s="210"/>
      <c r="G36" s="210"/>
      <c r="H36" s="210"/>
      <c r="I36" s="221"/>
      <c r="J36" s="123"/>
      <c r="K36" s="123"/>
      <c r="L36" s="123"/>
      <c r="M36" s="123"/>
      <c r="N36" s="115"/>
      <c r="O36" s="115"/>
      <c r="P36" s="115"/>
    </row>
    <row r="37" spans="1:16" s="17" customFormat="1">
      <c r="A37" s="25" t="s">
        <v>35</v>
      </c>
      <c r="B37" s="21" t="s">
        <v>36</v>
      </c>
      <c r="C37" s="22">
        <v>3031000</v>
      </c>
      <c r="D37" s="26">
        <v>3122000</v>
      </c>
      <c r="E37" s="27">
        <v>3229000</v>
      </c>
      <c r="F37" s="210"/>
      <c r="G37" s="210"/>
      <c r="H37" s="210"/>
      <c r="I37" s="221"/>
      <c r="J37" s="123"/>
      <c r="K37" s="123"/>
      <c r="L37" s="123"/>
      <c r="M37" s="123"/>
      <c r="N37" s="115"/>
      <c r="O37" s="115"/>
      <c r="P37" s="115"/>
    </row>
    <row r="38" spans="1:16" s="17" customFormat="1" ht="39.6">
      <c r="A38" s="23" t="s">
        <v>37</v>
      </c>
      <c r="B38" s="21" t="s">
        <v>38</v>
      </c>
      <c r="C38" s="22">
        <v>2406000</v>
      </c>
      <c r="D38" s="26">
        <v>2502000</v>
      </c>
      <c r="E38" s="27">
        <v>2579000</v>
      </c>
      <c r="F38" s="210"/>
      <c r="G38" s="210"/>
      <c r="H38" s="210"/>
      <c r="I38" s="221"/>
      <c r="J38" s="123"/>
      <c r="K38" s="123"/>
      <c r="L38" s="123"/>
      <c r="M38" s="123"/>
      <c r="N38" s="115"/>
      <c r="O38" s="115"/>
      <c r="P38" s="115"/>
    </row>
    <row r="39" spans="1:16" s="17" customFormat="1" ht="52.8">
      <c r="A39" s="23" t="s">
        <v>39</v>
      </c>
      <c r="B39" s="21" t="s">
        <v>40</v>
      </c>
      <c r="C39" s="22">
        <v>125000</v>
      </c>
      <c r="D39" s="26">
        <v>120000</v>
      </c>
      <c r="E39" s="27">
        <v>150000</v>
      </c>
      <c r="F39" s="210"/>
      <c r="G39" s="210"/>
      <c r="H39" s="210"/>
      <c r="I39" s="221"/>
      <c r="J39" s="123"/>
      <c r="K39" s="123"/>
      <c r="L39" s="123"/>
      <c r="M39" s="123"/>
      <c r="N39" s="115"/>
      <c r="O39" s="115"/>
      <c r="P39" s="115"/>
    </row>
    <row r="40" spans="1:16" s="17" customFormat="1" ht="39.6">
      <c r="A40" s="23" t="s">
        <v>41</v>
      </c>
      <c r="B40" s="18" t="s">
        <v>42</v>
      </c>
      <c r="C40" s="30">
        <v>500000</v>
      </c>
      <c r="D40" s="26">
        <v>500000</v>
      </c>
      <c r="E40" s="27">
        <v>500000</v>
      </c>
      <c r="F40" s="210"/>
      <c r="G40" s="210"/>
      <c r="H40" s="210"/>
      <c r="I40" s="221"/>
      <c r="J40" s="123"/>
      <c r="K40" s="123"/>
      <c r="L40" s="123"/>
      <c r="M40" s="123"/>
      <c r="N40" s="115"/>
      <c r="O40" s="115"/>
      <c r="P40" s="115"/>
    </row>
    <row r="41" spans="1:16" s="17" customFormat="1" ht="13.8">
      <c r="A41" s="23"/>
      <c r="B41" s="21"/>
      <c r="C41" s="29"/>
      <c r="D41" s="63"/>
      <c r="E41" s="64"/>
      <c r="F41" s="210"/>
      <c r="G41" s="210"/>
      <c r="H41" s="210"/>
      <c r="I41" s="221"/>
      <c r="J41" s="123"/>
      <c r="K41" s="123"/>
      <c r="L41" s="123"/>
      <c r="M41" s="123"/>
      <c r="N41" s="115"/>
      <c r="O41" s="115"/>
      <c r="P41" s="115"/>
    </row>
    <row r="42" spans="1:16" s="17" customFormat="1" ht="39.6">
      <c r="A42" s="20" t="s">
        <v>43</v>
      </c>
      <c r="B42" s="21" t="s">
        <v>44</v>
      </c>
      <c r="C42" s="22">
        <v>20237000</v>
      </c>
      <c r="D42" s="26">
        <v>20205000</v>
      </c>
      <c r="E42" s="27">
        <v>20205000</v>
      </c>
      <c r="F42" s="210"/>
      <c r="G42" s="210"/>
      <c r="H42" s="210"/>
      <c r="I42" s="221"/>
      <c r="J42" s="123"/>
      <c r="K42" s="123"/>
      <c r="L42" s="123"/>
      <c r="M42" s="123"/>
      <c r="N42" s="115"/>
      <c r="O42" s="115"/>
      <c r="P42" s="115"/>
    </row>
    <row r="43" spans="1:16" ht="92.4">
      <c r="A43" s="23" t="s">
        <v>45</v>
      </c>
      <c r="B43" s="21" t="s">
        <v>46</v>
      </c>
      <c r="C43" s="22">
        <v>10203000</v>
      </c>
      <c r="D43" s="26">
        <v>10171000</v>
      </c>
      <c r="E43" s="27">
        <v>10171000</v>
      </c>
    </row>
    <row r="44" spans="1:16" ht="79.2">
      <c r="A44" s="31" t="s">
        <v>47</v>
      </c>
      <c r="B44" s="21" t="s">
        <v>48</v>
      </c>
      <c r="C44" s="22">
        <v>10034000</v>
      </c>
      <c r="D44" s="67">
        <v>10034000</v>
      </c>
      <c r="E44" s="27">
        <v>10034000</v>
      </c>
    </row>
    <row r="45" spans="1:16">
      <c r="A45" s="31"/>
      <c r="B45" s="21"/>
      <c r="C45" s="22"/>
      <c r="D45" s="63"/>
      <c r="E45" s="64"/>
    </row>
    <row r="46" spans="1:16" ht="26.4">
      <c r="A46" s="25" t="s">
        <v>49</v>
      </c>
      <c r="B46" s="21" t="s">
        <v>50</v>
      </c>
      <c r="C46" s="22">
        <v>315156</v>
      </c>
      <c r="D46" s="26">
        <v>315156</v>
      </c>
      <c r="E46" s="27">
        <v>315156</v>
      </c>
    </row>
    <row r="47" spans="1:16">
      <c r="A47" s="23"/>
      <c r="B47" s="21"/>
      <c r="C47" s="22"/>
      <c r="D47" s="26"/>
      <c r="E47" s="27"/>
    </row>
    <row r="48" spans="1:16" s="34" customFormat="1" ht="26.4">
      <c r="A48" s="25" t="s">
        <v>51</v>
      </c>
      <c r="B48" s="21" t="s">
        <v>52</v>
      </c>
      <c r="C48" s="22">
        <v>200000</v>
      </c>
      <c r="D48" s="26">
        <v>200000</v>
      </c>
      <c r="E48" s="27">
        <v>200000</v>
      </c>
      <c r="F48" s="207"/>
      <c r="G48" s="207"/>
      <c r="H48" s="207"/>
      <c r="I48" s="218"/>
      <c r="J48" s="124"/>
      <c r="K48" s="124"/>
      <c r="L48" s="124"/>
      <c r="M48" s="124"/>
      <c r="N48" s="116"/>
      <c r="O48" s="116"/>
      <c r="P48" s="116"/>
    </row>
    <row r="49" spans="1:16" s="34" customFormat="1">
      <c r="A49" s="23" t="s">
        <v>53</v>
      </c>
      <c r="B49" s="21" t="s">
        <v>54</v>
      </c>
      <c r="C49" s="22">
        <v>200000</v>
      </c>
      <c r="D49" s="26">
        <v>200000</v>
      </c>
      <c r="E49" s="27">
        <v>200000</v>
      </c>
      <c r="F49" s="207"/>
      <c r="G49" s="207"/>
      <c r="H49" s="207"/>
      <c r="I49" s="218"/>
      <c r="J49" s="124"/>
      <c r="K49" s="124"/>
      <c r="L49" s="124"/>
      <c r="M49" s="124"/>
      <c r="N49" s="116"/>
      <c r="O49" s="116"/>
      <c r="P49" s="116"/>
    </row>
    <row r="50" spans="1:16" s="34" customFormat="1">
      <c r="A50" s="23"/>
      <c r="B50" s="21"/>
      <c r="C50" s="22"/>
      <c r="D50" s="26"/>
      <c r="E50" s="27"/>
      <c r="F50" s="207"/>
      <c r="G50" s="207"/>
      <c r="H50" s="207"/>
      <c r="I50" s="218"/>
      <c r="J50" s="124"/>
      <c r="K50" s="124"/>
      <c r="L50" s="124"/>
      <c r="M50" s="124"/>
      <c r="N50" s="116"/>
      <c r="O50" s="116"/>
      <c r="P50" s="116"/>
    </row>
    <row r="51" spans="1:16" s="34" customFormat="1" ht="26.4">
      <c r="A51" s="25" t="s">
        <v>55</v>
      </c>
      <c r="B51" s="21" t="s">
        <v>56</v>
      </c>
      <c r="C51" s="22">
        <v>1595000</v>
      </c>
      <c r="D51" s="26">
        <v>1241000</v>
      </c>
      <c r="E51" s="27">
        <v>1180000</v>
      </c>
      <c r="F51" s="207"/>
      <c r="G51" s="207"/>
      <c r="H51" s="207"/>
      <c r="I51" s="218"/>
      <c r="J51" s="124"/>
      <c r="K51" s="124"/>
      <c r="L51" s="124"/>
      <c r="M51" s="124"/>
      <c r="N51" s="116"/>
      <c r="O51" s="116"/>
      <c r="P51" s="116"/>
    </row>
    <row r="52" spans="1:16" s="34" customFormat="1" ht="79.2">
      <c r="A52" s="23" t="s">
        <v>57</v>
      </c>
      <c r="B52" s="21" t="s">
        <v>58</v>
      </c>
      <c r="C52" s="22">
        <v>595000</v>
      </c>
      <c r="D52" s="26">
        <v>241000</v>
      </c>
      <c r="E52" s="27">
        <v>180000</v>
      </c>
      <c r="F52" s="207"/>
      <c r="G52" s="207"/>
      <c r="H52" s="207"/>
      <c r="I52" s="218"/>
      <c r="J52" s="124"/>
      <c r="K52" s="124"/>
      <c r="L52" s="124"/>
      <c r="M52" s="124"/>
      <c r="N52" s="116"/>
      <c r="O52" s="116"/>
      <c r="P52" s="116"/>
    </row>
    <row r="53" spans="1:16" s="34" customFormat="1" ht="39.6">
      <c r="A53" s="23" t="s">
        <v>59</v>
      </c>
      <c r="B53" s="21" t="s">
        <v>60</v>
      </c>
      <c r="C53" s="22">
        <v>1000000</v>
      </c>
      <c r="D53" s="26">
        <v>1000000</v>
      </c>
      <c r="E53" s="27">
        <v>1000000</v>
      </c>
      <c r="F53" s="207"/>
      <c r="G53" s="207"/>
      <c r="H53" s="207"/>
      <c r="I53" s="218"/>
      <c r="J53" s="124"/>
      <c r="K53" s="124"/>
      <c r="L53" s="124"/>
      <c r="M53" s="124"/>
      <c r="N53" s="116"/>
      <c r="O53" s="116"/>
      <c r="P53" s="116"/>
    </row>
    <row r="54" spans="1:16" s="34" customFormat="1">
      <c r="A54" s="23"/>
      <c r="B54" s="21"/>
      <c r="C54" s="22"/>
      <c r="D54" s="63"/>
      <c r="E54" s="64"/>
      <c r="F54" s="207"/>
      <c r="G54" s="207"/>
      <c r="H54" s="207"/>
      <c r="I54" s="218"/>
      <c r="J54" s="124"/>
      <c r="K54" s="124"/>
      <c r="L54" s="124"/>
      <c r="M54" s="124"/>
      <c r="N54" s="116"/>
      <c r="O54" s="116"/>
      <c r="P54" s="116"/>
    </row>
    <row r="55" spans="1:16" s="34" customFormat="1">
      <c r="A55" s="25" t="s">
        <v>61</v>
      </c>
      <c r="B55" s="21" t="s">
        <v>62</v>
      </c>
      <c r="C55" s="22">
        <v>2091000</v>
      </c>
      <c r="D55" s="26">
        <v>2091000</v>
      </c>
      <c r="E55" s="27">
        <v>2091000</v>
      </c>
      <c r="F55" s="207"/>
      <c r="G55" s="207"/>
      <c r="H55" s="207"/>
      <c r="I55" s="218"/>
      <c r="J55" s="124"/>
      <c r="K55" s="124"/>
      <c r="L55" s="124"/>
      <c r="M55" s="124"/>
      <c r="N55" s="116"/>
      <c r="O55" s="116"/>
      <c r="P55" s="116"/>
    </row>
    <row r="56" spans="1:16" s="34" customFormat="1">
      <c r="A56" s="23"/>
      <c r="B56" s="21"/>
      <c r="C56" s="22"/>
      <c r="D56" s="26"/>
      <c r="E56" s="27"/>
      <c r="F56" s="207"/>
      <c r="G56" s="207"/>
      <c r="H56" s="207"/>
      <c r="I56" s="218"/>
      <c r="J56" s="124"/>
      <c r="K56" s="124"/>
      <c r="L56" s="124"/>
      <c r="M56" s="124"/>
      <c r="N56" s="116"/>
      <c r="O56" s="116"/>
      <c r="P56" s="116"/>
    </row>
    <row r="57" spans="1:16" s="34" customFormat="1">
      <c r="A57" s="25" t="s">
        <v>63</v>
      </c>
      <c r="B57" s="21" t="s">
        <v>64</v>
      </c>
      <c r="C57" s="22">
        <v>0</v>
      </c>
      <c r="D57" s="26">
        <v>0</v>
      </c>
      <c r="E57" s="27">
        <v>0</v>
      </c>
      <c r="F57" s="207"/>
      <c r="G57" s="207"/>
      <c r="H57" s="207"/>
      <c r="I57" s="218"/>
      <c r="J57" s="124"/>
      <c r="K57" s="124"/>
      <c r="L57" s="124"/>
      <c r="M57" s="124"/>
      <c r="N57" s="116"/>
      <c r="O57" s="116"/>
      <c r="P57" s="116"/>
    </row>
    <row r="58" spans="1:16" s="34" customFormat="1">
      <c r="A58" s="23"/>
      <c r="B58" s="21"/>
      <c r="C58" s="22"/>
      <c r="D58" s="26"/>
      <c r="E58" s="27"/>
      <c r="F58" s="207"/>
      <c r="G58" s="207"/>
      <c r="H58" s="207"/>
      <c r="I58" s="218"/>
      <c r="J58" s="124"/>
      <c r="K58" s="124"/>
      <c r="L58" s="124"/>
      <c r="M58" s="124"/>
      <c r="N58" s="116"/>
      <c r="O58" s="116"/>
      <c r="P58" s="116"/>
    </row>
    <row r="59" spans="1:16" s="34" customFormat="1">
      <c r="A59" s="14" t="s">
        <v>65</v>
      </c>
      <c r="B59" s="35" t="s">
        <v>66</v>
      </c>
      <c r="C59" s="68">
        <v>3068578419.4099998</v>
      </c>
      <c r="D59" s="69">
        <v>2001243019.6500001</v>
      </c>
      <c r="E59" s="70">
        <v>2131490864</v>
      </c>
      <c r="F59" s="207">
        <f>F61+C122</f>
        <v>3068578419.4099998</v>
      </c>
      <c r="G59" s="207">
        <f t="shared" ref="G59:H59" si="0">G61+D122</f>
        <v>2001243019.6500001</v>
      </c>
      <c r="H59" s="207">
        <f t="shared" si="0"/>
        <v>2131490863.9999998</v>
      </c>
      <c r="I59" s="218">
        <f>F59-C59</f>
        <v>0</v>
      </c>
      <c r="J59" s="124"/>
      <c r="K59" s="124"/>
      <c r="L59" s="124"/>
      <c r="M59" s="124"/>
      <c r="N59" s="116"/>
      <c r="O59" s="116"/>
      <c r="P59" s="116"/>
    </row>
    <row r="60" spans="1:16" s="34" customFormat="1">
      <c r="A60" s="23"/>
      <c r="B60" s="36"/>
      <c r="C60" s="37"/>
      <c r="D60" s="71"/>
      <c r="E60" s="72"/>
      <c r="F60" s="207"/>
      <c r="G60" s="207"/>
      <c r="H60" s="207"/>
      <c r="I60" s="218"/>
      <c r="J60" s="124"/>
      <c r="K60" s="124"/>
      <c r="L60" s="124"/>
      <c r="M60" s="124"/>
      <c r="N60" s="116"/>
      <c r="O60" s="116"/>
      <c r="P60" s="116"/>
    </row>
    <row r="61" spans="1:16" s="34" customFormat="1" ht="39.6">
      <c r="A61" s="20" t="s">
        <v>67</v>
      </c>
      <c r="B61" s="38" t="s">
        <v>68</v>
      </c>
      <c r="C61" s="37">
        <v>2926001912.6199999</v>
      </c>
      <c r="D61" s="71">
        <v>1863847019.6500001</v>
      </c>
      <c r="E61" s="72">
        <v>1994094864</v>
      </c>
      <c r="F61" s="211">
        <f>F62+F66+F89+F106</f>
        <v>2926001912.6199999</v>
      </c>
      <c r="G61" s="211">
        <f t="shared" ref="G61:H61" si="1">G62+G66+G89+G106</f>
        <v>1863847019.6500001</v>
      </c>
      <c r="H61" s="211">
        <f t="shared" si="1"/>
        <v>1994094863.9999998</v>
      </c>
      <c r="I61" s="218">
        <f>C61-F61</f>
        <v>0</v>
      </c>
      <c r="J61" s="124"/>
      <c r="K61" s="124"/>
      <c r="L61" s="124"/>
      <c r="M61" s="124"/>
      <c r="N61" s="116"/>
      <c r="O61" s="116"/>
      <c r="P61" s="116"/>
    </row>
    <row r="62" spans="1:16" s="89" customFormat="1" ht="26.4">
      <c r="A62" s="86" t="s">
        <v>69</v>
      </c>
      <c r="B62" s="87" t="s">
        <v>70</v>
      </c>
      <c r="C62" s="16">
        <v>459597927.19</v>
      </c>
      <c r="D62" s="59">
        <v>555534416.65999997</v>
      </c>
      <c r="E62" s="60">
        <v>584348084.79999995</v>
      </c>
      <c r="F62" s="212">
        <f>SUM(C63:C64)</f>
        <v>459597927.19</v>
      </c>
      <c r="G62" s="212">
        <f t="shared" ref="G62:H62" si="2">SUM(D63:D64)</f>
        <v>555534416.65999997</v>
      </c>
      <c r="H62" s="212">
        <f t="shared" si="2"/>
        <v>584348084.79999995</v>
      </c>
      <c r="I62" s="222"/>
      <c r="J62" s="125"/>
      <c r="K62" s="125"/>
      <c r="L62" s="125"/>
      <c r="M62" s="125"/>
      <c r="N62" s="117"/>
      <c r="O62" s="117"/>
      <c r="P62" s="117"/>
    </row>
    <row r="63" spans="1:16" s="17" customFormat="1" ht="26.4">
      <c r="A63" s="40" t="s">
        <v>71</v>
      </c>
      <c r="B63" s="38" t="s">
        <v>72</v>
      </c>
      <c r="C63" s="22">
        <v>78849761.290000007</v>
      </c>
      <c r="D63" s="26">
        <v>70405204.780000001</v>
      </c>
      <c r="E63" s="27">
        <v>82469353.299999997</v>
      </c>
      <c r="F63" s="210"/>
      <c r="G63" s="210"/>
      <c r="H63" s="210"/>
      <c r="I63" s="221"/>
      <c r="J63" s="123"/>
      <c r="K63" s="123"/>
      <c r="L63" s="123"/>
      <c r="M63" s="123"/>
      <c r="N63" s="115"/>
      <c r="O63" s="115"/>
      <c r="P63" s="115"/>
    </row>
    <row r="64" spans="1:16" s="17" customFormat="1" ht="52.8">
      <c r="A64" s="40" t="s">
        <v>73</v>
      </c>
      <c r="B64" s="38" t="s">
        <v>123</v>
      </c>
      <c r="C64" s="22">
        <v>380748165.89999998</v>
      </c>
      <c r="D64" s="26">
        <v>485129211.88</v>
      </c>
      <c r="E64" s="27">
        <v>501878731.5</v>
      </c>
      <c r="F64" s="210"/>
      <c r="G64" s="210"/>
      <c r="H64" s="210"/>
      <c r="I64" s="221"/>
      <c r="J64" s="123"/>
      <c r="K64" s="123"/>
      <c r="L64" s="123"/>
      <c r="M64" s="123"/>
      <c r="N64" s="115"/>
      <c r="O64" s="115"/>
      <c r="P64" s="115"/>
    </row>
    <row r="65" spans="1:16" s="17" customFormat="1">
      <c r="A65" s="41"/>
      <c r="B65" s="42"/>
      <c r="C65" s="22"/>
      <c r="D65" s="26"/>
      <c r="E65" s="27"/>
      <c r="F65" s="210"/>
      <c r="G65" s="210"/>
      <c r="H65" s="210"/>
      <c r="I65" s="221"/>
      <c r="J65" s="123"/>
      <c r="K65" s="123"/>
      <c r="L65" s="123"/>
      <c r="M65" s="123"/>
      <c r="N65" s="115"/>
      <c r="O65" s="115"/>
      <c r="P65" s="115"/>
    </row>
    <row r="66" spans="1:16" s="89" customFormat="1" ht="39.6">
      <c r="A66" s="86" t="s">
        <v>74</v>
      </c>
      <c r="B66" s="90" t="s">
        <v>75</v>
      </c>
      <c r="C66" s="16">
        <v>374126810.44</v>
      </c>
      <c r="D66" s="59">
        <v>342015378.31</v>
      </c>
      <c r="E66" s="60">
        <v>357374280.75999999</v>
      </c>
      <c r="F66" s="212">
        <f>SUM(C67:C88)</f>
        <v>374126810.43999994</v>
      </c>
      <c r="G66" s="212">
        <f t="shared" ref="G66:H66" si="3">SUM(D67:D86)</f>
        <v>342015378.31</v>
      </c>
      <c r="H66" s="212">
        <f t="shared" si="3"/>
        <v>357374280.75999999</v>
      </c>
      <c r="I66" s="222"/>
      <c r="J66" s="125"/>
      <c r="K66" s="125"/>
      <c r="L66" s="125"/>
      <c r="M66" s="125"/>
      <c r="N66" s="117"/>
      <c r="O66" s="117"/>
      <c r="P66" s="117"/>
    </row>
    <row r="67" spans="1:16" s="89" customFormat="1" ht="39.6" customHeight="1">
      <c r="A67" s="167" t="s">
        <v>154</v>
      </c>
      <c r="B67" s="161" t="s">
        <v>152</v>
      </c>
      <c r="C67" s="22">
        <v>9433480</v>
      </c>
      <c r="D67" s="26"/>
      <c r="E67" s="27"/>
      <c r="F67" s="212">
        <f>F66-C66</f>
        <v>0</v>
      </c>
      <c r="G67" s="212">
        <f t="shared" ref="G67:H67" si="4">G66-D66</f>
        <v>0</v>
      </c>
      <c r="H67" s="212">
        <f t="shared" si="4"/>
        <v>0</v>
      </c>
      <c r="I67" s="222"/>
      <c r="J67" s="125"/>
      <c r="K67" s="125"/>
      <c r="L67" s="125"/>
      <c r="M67" s="125"/>
      <c r="N67" s="117"/>
      <c r="O67" s="117"/>
      <c r="P67" s="117"/>
    </row>
    <row r="68" spans="1:16" s="89" customFormat="1" ht="39.6" customHeight="1">
      <c r="A68" s="167" t="s">
        <v>155</v>
      </c>
      <c r="B68" s="161" t="s">
        <v>153</v>
      </c>
      <c r="C68" s="22">
        <v>182894</v>
      </c>
      <c r="D68" s="26"/>
      <c r="E68" s="27"/>
      <c r="F68" s="212"/>
      <c r="G68" s="212"/>
      <c r="H68" s="212"/>
      <c r="I68" s="222"/>
      <c r="J68" s="125"/>
      <c r="K68" s="125"/>
      <c r="L68" s="125"/>
      <c r="M68" s="125"/>
      <c r="N68" s="117"/>
      <c r="O68" s="117"/>
      <c r="P68" s="117"/>
    </row>
    <row r="69" spans="1:16" s="17" customFormat="1" ht="52.8">
      <c r="A69" s="40" t="s">
        <v>77</v>
      </c>
      <c r="B69" s="38" t="s">
        <v>78</v>
      </c>
      <c r="C69" s="22">
        <v>18317821.150000002</v>
      </c>
      <c r="D69" s="26">
        <v>17605408.140000001</v>
      </c>
      <c r="E69" s="27">
        <v>16887506.799999997</v>
      </c>
      <c r="F69" s="210"/>
      <c r="G69" s="210"/>
      <c r="H69" s="210"/>
      <c r="I69" s="221"/>
      <c r="J69" s="123"/>
      <c r="K69" s="123"/>
      <c r="L69" s="123"/>
      <c r="M69" s="123"/>
      <c r="N69" s="115"/>
      <c r="O69" s="115"/>
      <c r="P69" s="115"/>
    </row>
    <row r="70" spans="1:16" s="17" customFormat="1" ht="52.2" customHeight="1">
      <c r="A70" s="40" t="s">
        <v>142</v>
      </c>
      <c r="B70" s="38" t="s">
        <v>145</v>
      </c>
      <c r="C70" s="22">
        <v>1209409</v>
      </c>
      <c r="D70" s="26"/>
      <c r="E70" s="27"/>
      <c r="F70" s="210"/>
      <c r="G70" s="210"/>
      <c r="H70" s="210"/>
      <c r="I70" s="221"/>
      <c r="J70" s="123"/>
      <c r="K70" s="123"/>
      <c r="L70" s="123"/>
      <c r="M70" s="123"/>
      <c r="N70" s="115"/>
      <c r="O70" s="115"/>
      <c r="P70" s="115"/>
    </row>
    <row r="71" spans="1:16" s="17" customFormat="1" ht="45" customHeight="1">
      <c r="A71" s="40" t="s">
        <v>157</v>
      </c>
      <c r="B71" s="38" t="s">
        <v>162</v>
      </c>
      <c r="C71" s="22">
        <v>8577425.2699999996</v>
      </c>
      <c r="D71" s="26"/>
      <c r="E71" s="27"/>
      <c r="F71" s="210"/>
      <c r="G71" s="210"/>
      <c r="H71" s="210"/>
      <c r="I71" s="221"/>
      <c r="J71" s="123"/>
      <c r="K71" s="123"/>
      <c r="L71" s="123"/>
      <c r="M71" s="123"/>
      <c r="N71" s="115"/>
      <c r="O71" s="115"/>
      <c r="P71" s="115"/>
    </row>
    <row r="72" spans="1:16" s="17" customFormat="1" ht="66">
      <c r="A72" s="40" t="s">
        <v>79</v>
      </c>
      <c r="B72" s="43" t="s">
        <v>124</v>
      </c>
      <c r="C72" s="22">
        <v>324698.40999999997</v>
      </c>
      <c r="D72" s="26">
        <v>325110.75</v>
      </c>
      <c r="E72" s="27">
        <v>333599.11</v>
      </c>
      <c r="F72" s="210"/>
      <c r="G72" s="210"/>
      <c r="H72" s="210"/>
      <c r="I72" s="221"/>
      <c r="J72" s="123"/>
      <c r="K72" s="123"/>
      <c r="L72" s="123"/>
      <c r="M72" s="123"/>
      <c r="N72" s="115"/>
      <c r="O72" s="115"/>
      <c r="P72" s="115"/>
    </row>
    <row r="73" spans="1:16" s="17" customFormat="1" ht="61.95" customHeight="1">
      <c r="A73" s="40" t="s">
        <v>158</v>
      </c>
      <c r="B73" s="43" t="s">
        <v>159</v>
      </c>
      <c r="C73" s="22">
        <v>13988094.119999999</v>
      </c>
      <c r="D73" s="26"/>
      <c r="E73" s="27"/>
      <c r="F73" s="210"/>
      <c r="G73" s="210"/>
      <c r="H73" s="210"/>
      <c r="I73" s="221"/>
      <c r="J73" s="123"/>
      <c r="K73" s="123"/>
      <c r="L73" s="123"/>
      <c r="M73" s="123"/>
      <c r="N73" s="115"/>
      <c r="O73" s="115"/>
      <c r="P73" s="115"/>
    </row>
    <row r="74" spans="1:16" s="17" customFormat="1" ht="52.8">
      <c r="A74" s="40" t="s">
        <v>80</v>
      </c>
      <c r="B74" s="38" t="s">
        <v>147</v>
      </c>
      <c r="C74" s="22">
        <v>307166640</v>
      </c>
      <c r="D74" s="26">
        <v>318999400</v>
      </c>
      <c r="E74" s="27">
        <v>335057530</v>
      </c>
      <c r="F74" s="210"/>
      <c r="G74" s="210"/>
      <c r="H74" s="210"/>
      <c r="I74" s="221"/>
      <c r="J74" s="123"/>
      <c r="K74" s="123"/>
      <c r="L74" s="123"/>
      <c r="M74" s="123"/>
      <c r="N74" s="115"/>
      <c r="O74" s="115"/>
      <c r="P74" s="115"/>
    </row>
    <row r="75" spans="1:16" s="17" customFormat="1" ht="52.2" customHeight="1">
      <c r="A75" s="40" t="s">
        <v>138</v>
      </c>
      <c r="B75" s="38" t="s">
        <v>81</v>
      </c>
      <c r="C75" s="22">
        <v>2722317.84</v>
      </c>
      <c r="D75" s="26"/>
      <c r="E75" s="27"/>
      <c r="F75" s="210"/>
      <c r="G75" s="210"/>
      <c r="H75" s="210"/>
      <c r="I75" s="221"/>
      <c r="J75" s="123"/>
      <c r="K75" s="123"/>
      <c r="L75" s="123"/>
      <c r="M75" s="123"/>
      <c r="N75" s="115"/>
      <c r="O75" s="115"/>
      <c r="P75" s="115"/>
    </row>
    <row r="76" spans="1:16" s="17" customFormat="1" ht="52.2" customHeight="1">
      <c r="A76" s="40" t="s">
        <v>160</v>
      </c>
      <c r="B76" s="38" t="s">
        <v>81</v>
      </c>
      <c r="C76" s="22">
        <v>2951891.02</v>
      </c>
      <c r="D76" s="26"/>
      <c r="E76" s="27"/>
      <c r="F76" s="210"/>
      <c r="G76" s="210"/>
      <c r="H76" s="210"/>
      <c r="I76" s="221"/>
      <c r="J76" s="123"/>
      <c r="K76" s="123"/>
      <c r="L76" s="123"/>
      <c r="M76" s="123"/>
      <c r="N76" s="115"/>
      <c r="O76" s="115"/>
      <c r="P76" s="115"/>
    </row>
    <row r="77" spans="1:16" s="17" customFormat="1" ht="52.8">
      <c r="A77" s="40" t="s">
        <v>82</v>
      </c>
      <c r="B77" s="43" t="s">
        <v>83</v>
      </c>
      <c r="C77" s="22">
        <v>227539.47999999998</v>
      </c>
      <c r="D77" s="26">
        <v>227539.47999999998</v>
      </c>
      <c r="E77" s="27">
        <v>227539.47999999998</v>
      </c>
      <c r="F77" s="210"/>
      <c r="G77" s="210"/>
      <c r="H77" s="210"/>
      <c r="I77" s="221"/>
      <c r="J77" s="123"/>
      <c r="K77" s="123"/>
      <c r="L77" s="123"/>
      <c r="M77" s="123"/>
      <c r="N77" s="115"/>
      <c r="O77" s="115"/>
      <c r="P77" s="115"/>
    </row>
    <row r="78" spans="1:16" s="17" customFormat="1" ht="39.6">
      <c r="A78" s="40" t="s">
        <v>84</v>
      </c>
      <c r="B78" s="44" t="s">
        <v>83</v>
      </c>
      <c r="C78" s="22">
        <v>1050000</v>
      </c>
      <c r="D78" s="26">
        <v>945000</v>
      </c>
      <c r="E78" s="27">
        <v>945000</v>
      </c>
      <c r="F78" s="210"/>
      <c r="G78" s="210"/>
      <c r="H78" s="210"/>
      <c r="I78" s="221"/>
      <c r="J78" s="123"/>
      <c r="K78" s="123"/>
      <c r="L78" s="123"/>
      <c r="M78" s="123"/>
      <c r="N78" s="115"/>
      <c r="O78" s="115"/>
      <c r="P78" s="115"/>
    </row>
    <row r="79" spans="1:16" s="17" customFormat="1" ht="66">
      <c r="A79" s="40" t="s">
        <v>85</v>
      </c>
      <c r="B79" s="38" t="s">
        <v>83</v>
      </c>
      <c r="C79" s="22">
        <v>245775.75</v>
      </c>
      <c r="D79" s="26">
        <v>255612.36</v>
      </c>
      <c r="E79" s="27">
        <v>265797.78999999998</v>
      </c>
      <c r="F79" s="210"/>
      <c r="G79" s="210"/>
      <c r="H79" s="210"/>
      <c r="I79" s="221"/>
      <c r="J79" s="123"/>
      <c r="K79" s="123"/>
      <c r="L79" s="123"/>
      <c r="M79" s="123"/>
      <c r="N79" s="115"/>
      <c r="O79" s="115"/>
      <c r="P79" s="115"/>
    </row>
    <row r="80" spans="1:16" s="17" customFormat="1" ht="94.5" customHeight="1">
      <c r="A80" s="40" t="s">
        <v>122</v>
      </c>
      <c r="B80" s="38" t="s">
        <v>83</v>
      </c>
      <c r="C80" s="22">
        <v>0</v>
      </c>
      <c r="D80" s="26">
        <v>0</v>
      </c>
      <c r="E80" s="27">
        <v>0</v>
      </c>
      <c r="F80" s="210"/>
      <c r="G80" s="210"/>
      <c r="H80" s="210"/>
      <c r="I80" s="221"/>
      <c r="J80" s="123"/>
      <c r="K80" s="123"/>
      <c r="L80" s="123"/>
      <c r="M80" s="123"/>
      <c r="N80" s="115"/>
      <c r="O80" s="115"/>
      <c r="P80" s="115"/>
    </row>
    <row r="81" spans="1:16" s="17" customFormat="1" ht="39.6" customHeight="1">
      <c r="A81" s="40" t="s">
        <v>144</v>
      </c>
      <c r="B81" s="38" t="s">
        <v>83</v>
      </c>
      <c r="C81" s="22">
        <v>515140</v>
      </c>
      <c r="D81" s="26">
        <v>0</v>
      </c>
      <c r="E81" s="27"/>
      <c r="F81" s="210"/>
      <c r="G81" s="210"/>
      <c r="H81" s="210"/>
      <c r="I81" s="221"/>
      <c r="J81" s="123"/>
      <c r="K81" s="123"/>
      <c r="L81" s="123"/>
      <c r="M81" s="123"/>
      <c r="N81" s="115"/>
      <c r="O81" s="115"/>
      <c r="P81" s="115"/>
    </row>
    <row r="82" spans="1:16" s="17" customFormat="1" ht="39.6" customHeight="1">
      <c r="A82" s="40" t="s">
        <v>143</v>
      </c>
      <c r="B82" s="38" t="s">
        <v>83</v>
      </c>
      <c r="C82" s="22">
        <v>0</v>
      </c>
      <c r="D82" s="26">
        <v>780556</v>
      </c>
      <c r="E82" s="27">
        <v>780556</v>
      </c>
      <c r="F82" s="210"/>
      <c r="G82" s="210"/>
      <c r="H82" s="210"/>
      <c r="I82" s="221"/>
      <c r="J82" s="123"/>
      <c r="K82" s="123"/>
      <c r="L82" s="123"/>
      <c r="M82" s="123"/>
      <c r="N82" s="115"/>
      <c r="O82" s="115"/>
      <c r="P82" s="115"/>
    </row>
    <row r="83" spans="1:16" s="17" customFormat="1" ht="39.6" customHeight="1">
      <c r="A83" s="40" t="s">
        <v>163</v>
      </c>
      <c r="B83" s="38" t="s">
        <v>83</v>
      </c>
      <c r="C83" s="22">
        <v>3612000</v>
      </c>
      <c r="D83" s="26"/>
      <c r="E83" s="27"/>
      <c r="F83" s="210"/>
      <c r="G83" s="210"/>
      <c r="H83" s="210"/>
      <c r="I83" s="221"/>
      <c r="J83" s="123"/>
      <c r="K83" s="123"/>
      <c r="L83" s="123"/>
      <c r="M83" s="123"/>
      <c r="N83" s="115"/>
      <c r="O83" s="115"/>
      <c r="P83" s="115"/>
    </row>
    <row r="84" spans="1:16" s="17" customFormat="1" ht="39.6" customHeight="1">
      <c r="A84" s="163" t="s">
        <v>166</v>
      </c>
      <c r="B84" s="38" t="s">
        <v>83</v>
      </c>
      <c r="C84" s="22">
        <v>64366.400000000001</v>
      </c>
      <c r="D84" s="26">
        <v>49523.58</v>
      </c>
      <c r="E84" s="27">
        <v>49523.58</v>
      </c>
      <c r="F84" s="210"/>
      <c r="G84" s="210"/>
      <c r="H84" s="210"/>
      <c r="I84" s="221"/>
      <c r="J84" s="123"/>
      <c r="K84" s="123"/>
      <c r="L84" s="123"/>
      <c r="M84" s="123"/>
      <c r="N84" s="115"/>
      <c r="O84" s="115"/>
      <c r="P84" s="115"/>
    </row>
    <row r="85" spans="1:16" s="17" customFormat="1" ht="39.6" customHeight="1">
      <c r="A85" s="163" t="s">
        <v>167</v>
      </c>
      <c r="B85" s="38" t="s">
        <v>83</v>
      </c>
      <c r="C85" s="22">
        <v>516090</v>
      </c>
      <c r="D85" s="26"/>
      <c r="E85" s="27"/>
      <c r="F85" s="210"/>
      <c r="G85" s="210"/>
      <c r="H85" s="210"/>
      <c r="I85" s="221"/>
      <c r="J85" s="123"/>
      <c r="K85" s="123"/>
      <c r="L85" s="123"/>
      <c r="M85" s="123"/>
      <c r="N85" s="115"/>
      <c r="O85" s="115"/>
      <c r="P85" s="115"/>
    </row>
    <row r="86" spans="1:16" s="17" customFormat="1" ht="39.6" customHeight="1">
      <c r="A86" s="163" t="s">
        <v>170</v>
      </c>
      <c r="B86" s="38" t="s">
        <v>83</v>
      </c>
      <c r="C86" s="22">
        <v>2827228</v>
      </c>
      <c r="D86" s="26">
        <v>2827228</v>
      </c>
      <c r="E86" s="27">
        <v>2827228</v>
      </c>
      <c r="F86" s="210"/>
      <c r="G86" s="210"/>
      <c r="H86" s="210"/>
      <c r="I86" s="221"/>
      <c r="J86" s="123"/>
      <c r="K86" s="123"/>
      <c r="L86" s="123"/>
      <c r="M86" s="123"/>
      <c r="N86" s="115"/>
      <c r="O86" s="115"/>
      <c r="P86" s="115"/>
    </row>
    <row r="87" spans="1:16" s="17" customFormat="1" ht="39.6" customHeight="1">
      <c r="A87" s="217" t="s">
        <v>174</v>
      </c>
      <c r="B87" s="38" t="s">
        <v>83</v>
      </c>
      <c r="C87" s="22">
        <v>194000</v>
      </c>
      <c r="D87" s="26"/>
      <c r="E87" s="27"/>
      <c r="F87" s="210"/>
      <c r="G87" s="210"/>
      <c r="H87" s="210"/>
      <c r="I87" s="221"/>
      <c r="J87" s="123"/>
      <c r="K87" s="123"/>
      <c r="L87" s="123"/>
      <c r="M87" s="123"/>
      <c r="N87" s="115"/>
      <c r="O87" s="115"/>
      <c r="P87" s="115"/>
    </row>
    <row r="88" spans="1:16">
      <c r="A88" s="41"/>
      <c r="B88" s="42"/>
      <c r="C88" s="22"/>
      <c r="D88" s="26"/>
      <c r="E88" s="27"/>
    </row>
    <row r="89" spans="1:16" s="88" customFormat="1" ht="26.4">
      <c r="A89" s="86" t="s">
        <v>86</v>
      </c>
      <c r="B89" s="90" t="s">
        <v>87</v>
      </c>
      <c r="C89" s="16">
        <v>985575527.92999995</v>
      </c>
      <c r="D89" s="59">
        <v>959792305.65999997</v>
      </c>
      <c r="E89" s="60">
        <v>964395948.87</v>
      </c>
      <c r="F89" s="212">
        <f>SUM(C90:C104)</f>
        <v>985575527.93000007</v>
      </c>
      <c r="G89" s="212">
        <f t="shared" ref="G89:H89" si="5">SUM(D90:D104)</f>
        <v>959792305.65999997</v>
      </c>
      <c r="H89" s="212">
        <f t="shared" si="5"/>
        <v>964395948.87</v>
      </c>
      <c r="I89" s="222"/>
      <c r="J89" s="125"/>
      <c r="K89" s="125"/>
      <c r="L89" s="125"/>
      <c r="M89" s="125"/>
      <c r="N89" s="117"/>
      <c r="O89" s="117"/>
      <c r="P89" s="117"/>
    </row>
    <row r="90" spans="1:16" s="3" customFormat="1" ht="26.4">
      <c r="A90" s="40" t="s">
        <v>88</v>
      </c>
      <c r="B90" s="43" t="s">
        <v>89</v>
      </c>
      <c r="C90" s="22">
        <v>451206.49</v>
      </c>
      <c r="D90" s="26">
        <v>455268.55</v>
      </c>
      <c r="E90" s="27">
        <v>471679.29</v>
      </c>
      <c r="F90" s="210">
        <f>F89-C89</f>
        <v>0</v>
      </c>
      <c r="G90" s="210">
        <f t="shared" ref="G90:H90" si="6">G89-D89</f>
        <v>0</v>
      </c>
      <c r="H90" s="210">
        <f t="shared" si="6"/>
        <v>0</v>
      </c>
      <c r="I90" s="221"/>
      <c r="J90" s="123"/>
      <c r="K90" s="123"/>
      <c r="L90" s="123"/>
      <c r="M90" s="123"/>
      <c r="N90" s="115"/>
      <c r="O90" s="115"/>
      <c r="P90" s="115"/>
    </row>
    <row r="91" spans="1:16" s="3" customFormat="1" ht="66">
      <c r="A91" s="40" t="s">
        <v>90</v>
      </c>
      <c r="B91" s="38" t="s">
        <v>89</v>
      </c>
      <c r="C91" s="22">
        <v>14000</v>
      </c>
      <c r="D91" s="26">
        <v>14000</v>
      </c>
      <c r="E91" s="27">
        <v>14000</v>
      </c>
      <c r="F91" s="210"/>
      <c r="G91" s="210"/>
      <c r="H91" s="210"/>
      <c r="I91" s="221"/>
      <c r="J91" s="123"/>
      <c r="K91" s="123"/>
      <c r="L91" s="123"/>
      <c r="M91" s="123"/>
      <c r="N91" s="115"/>
      <c r="O91" s="115"/>
      <c r="P91" s="115"/>
    </row>
    <row r="92" spans="1:16" s="3" customFormat="1" ht="26.4">
      <c r="A92" s="40" t="s">
        <v>91</v>
      </c>
      <c r="B92" s="38" t="s">
        <v>89</v>
      </c>
      <c r="C92" s="22">
        <v>35000</v>
      </c>
      <c r="D92" s="26">
        <v>35000</v>
      </c>
      <c r="E92" s="27">
        <v>35000</v>
      </c>
      <c r="F92" s="210"/>
      <c r="G92" s="210"/>
      <c r="H92" s="210"/>
      <c r="I92" s="221"/>
      <c r="J92" s="123"/>
      <c r="K92" s="123"/>
      <c r="L92" s="123"/>
      <c r="M92" s="123"/>
      <c r="N92" s="115"/>
      <c r="O92" s="115"/>
      <c r="P92" s="115"/>
    </row>
    <row r="93" spans="1:16" s="3" customFormat="1" ht="66">
      <c r="A93" s="40" t="s">
        <v>92</v>
      </c>
      <c r="B93" s="38" t="s">
        <v>89</v>
      </c>
      <c r="C93" s="22">
        <v>4860848.42</v>
      </c>
      <c r="D93" s="26">
        <v>4849832.93</v>
      </c>
      <c r="E93" s="27">
        <v>5043758.0999999996</v>
      </c>
      <c r="F93" s="210"/>
      <c r="G93" s="210"/>
      <c r="H93" s="210"/>
      <c r="I93" s="221"/>
      <c r="J93" s="123"/>
      <c r="K93" s="123"/>
      <c r="L93" s="123"/>
      <c r="M93" s="123"/>
      <c r="N93" s="115"/>
      <c r="O93" s="115"/>
      <c r="P93" s="115"/>
    </row>
    <row r="94" spans="1:16" s="3" customFormat="1" ht="79.2">
      <c r="A94" s="40" t="s">
        <v>93</v>
      </c>
      <c r="B94" s="38" t="s">
        <v>89</v>
      </c>
      <c r="C94" s="22">
        <v>56017990.280000001</v>
      </c>
      <c r="D94" s="26">
        <v>59023646.920000002</v>
      </c>
      <c r="E94" s="27">
        <v>59023620.75</v>
      </c>
      <c r="F94" s="210"/>
      <c r="G94" s="210"/>
      <c r="H94" s="210"/>
      <c r="I94" s="221"/>
      <c r="J94" s="123"/>
      <c r="K94" s="123"/>
      <c r="L94" s="123"/>
      <c r="M94" s="123"/>
      <c r="N94" s="115"/>
      <c r="O94" s="115"/>
      <c r="P94" s="115"/>
    </row>
    <row r="95" spans="1:16" s="17" customFormat="1" ht="52.8">
      <c r="A95" s="45" t="s">
        <v>126</v>
      </c>
      <c r="B95" s="38" t="s">
        <v>89</v>
      </c>
      <c r="C95" s="22">
        <v>37802529.799999997</v>
      </c>
      <c r="D95" s="26">
        <v>0</v>
      </c>
      <c r="E95" s="27">
        <v>0</v>
      </c>
      <c r="F95" s="210"/>
      <c r="G95" s="210"/>
      <c r="H95" s="210"/>
      <c r="I95" s="221"/>
      <c r="J95" s="123"/>
      <c r="K95" s="123"/>
      <c r="L95" s="123"/>
      <c r="M95" s="123"/>
      <c r="N95" s="115"/>
      <c r="O95" s="115"/>
      <c r="P95" s="115"/>
    </row>
    <row r="96" spans="1:16" s="17" customFormat="1" ht="52.8">
      <c r="A96" s="45" t="s">
        <v>127</v>
      </c>
      <c r="B96" s="38" t="s">
        <v>89</v>
      </c>
      <c r="C96" s="22">
        <v>771480.2</v>
      </c>
      <c r="D96" s="26">
        <v>0</v>
      </c>
      <c r="E96" s="27">
        <v>0</v>
      </c>
      <c r="F96" s="210"/>
      <c r="G96" s="210"/>
      <c r="H96" s="210"/>
      <c r="I96" s="221"/>
      <c r="J96" s="123"/>
      <c r="K96" s="123"/>
      <c r="L96" s="123"/>
      <c r="M96" s="123"/>
      <c r="N96" s="115"/>
      <c r="O96" s="115"/>
      <c r="P96" s="115"/>
    </row>
    <row r="97" spans="1:16" s="3" customFormat="1" ht="52.8">
      <c r="A97" s="40" t="s">
        <v>94</v>
      </c>
      <c r="B97" s="38" t="s">
        <v>95</v>
      </c>
      <c r="C97" s="22">
        <v>7746536.7000000002</v>
      </c>
      <c r="D97" s="26">
        <v>7231730</v>
      </c>
      <c r="E97" s="27">
        <v>4510720</v>
      </c>
      <c r="F97" s="210"/>
      <c r="G97" s="210"/>
      <c r="H97" s="210"/>
      <c r="I97" s="221"/>
      <c r="J97" s="123"/>
      <c r="K97" s="123"/>
      <c r="L97" s="123"/>
      <c r="M97" s="123"/>
      <c r="N97" s="115"/>
      <c r="O97" s="115"/>
      <c r="P97" s="115"/>
    </row>
    <row r="98" spans="1:16" s="3" customFormat="1" ht="66">
      <c r="A98" s="40" t="s">
        <v>96</v>
      </c>
      <c r="B98" s="38" t="s">
        <v>97</v>
      </c>
      <c r="C98" s="22">
        <v>0</v>
      </c>
      <c r="D98" s="26">
        <v>7636575.6600000001</v>
      </c>
      <c r="E98" s="27">
        <v>7895839.2599999998</v>
      </c>
      <c r="F98" s="210"/>
      <c r="G98" s="210"/>
      <c r="H98" s="210"/>
      <c r="I98" s="221"/>
      <c r="J98" s="123"/>
      <c r="K98" s="123"/>
      <c r="L98" s="123"/>
      <c r="M98" s="123"/>
      <c r="N98" s="115"/>
      <c r="O98" s="115"/>
      <c r="P98" s="115"/>
    </row>
    <row r="99" spans="1:16" s="3" customFormat="1" ht="52.8">
      <c r="A99" s="45" t="s">
        <v>98</v>
      </c>
      <c r="B99" s="38" t="s">
        <v>99</v>
      </c>
      <c r="C99" s="22">
        <v>2894337.15</v>
      </c>
      <c r="D99" s="26">
        <v>3197333.1500000004</v>
      </c>
      <c r="E99" s="27">
        <v>3503068.9499999997</v>
      </c>
      <c r="F99" s="210"/>
      <c r="G99" s="210"/>
      <c r="H99" s="210"/>
      <c r="I99" s="221"/>
      <c r="J99" s="123"/>
      <c r="K99" s="123"/>
      <c r="L99" s="123"/>
      <c r="M99" s="123"/>
      <c r="N99" s="115"/>
      <c r="O99" s="115"/>
      <c r="P99" s="115"/>
    </row>
    <row r="100" spans="1:16" s="3" customFormat="1" ht="52.8">
      <c r="A100" s="40" t="s">
        <v>100</v>
      </c>
      <c r="B100" s="38" t="s">
        <v>101</v>
      </c>
      <c r="C100" s="22">
        <v>5186.05</v>
      </c>
      <c r="D100" s="26">
        <v>5385.9</v>
      </c>
      <c r="E100" s="27">
        <v>131003.95999999999</v>
      </c>
      <c r="F100" s="210"/>
      <c r="G100" s="210"/>
      <c r="H100" s="210"/>
      <c r="I100" s="221"/>
      <c r="J100" s="123"/>
      <c r="K100" s="123"/>
      <c r="L100" s="123"/>
      <c r="M100" s="123"/>
      <c r="N100" s="115"/>
      <c r="O100" s="115"/>
      <c r="P100" s="115"/>
    </row>
    <row r="101" spans="1:16" s="3" customFormat="1" ht="52.8">
      <c r="A101" s="46" t="s">
        <v>102</v>
      </c>
      <c r="B101" s="38" t="s">
        <v>103</v>
      </c>
      <c r="C101" s="22">
        <v>29900775</v>
      </c>
      <c r="D101" s="26">
        <v>30279350</v>
      </c>
      <c r="E101" s="27">
        <v>30027030</v>
      </c>
      <c r="F101" s="210"/>
      <c r="G101" s="210"/>
      <c r="H101" s="210"/>
      <c r="I101" s="221"/>
      <c r="J101" s="123"/>
      <c r="K101" s="123"/>
      <c r="L101" s="123"/>
      <c r="M101" s="123"/>
      <c r="N101" s="115"/>
      <c r="O101" s="115"/>
      <c r="P101" s="115"/>
    </row>
    <row r="102" spans="1:16" s="3" customFormat="1" ht="26.4">
      <c r="A102" s="40" t="s">
        <v>104</v>
      </c>
      <c r="B102" s="38" t="s">
        <v>105</v>
      </c>
      <c r="C102" s="22">
        <v>8677923.2799999993</v>
      </c>
      <c r="D102" s="26">
        <v>8755102.5099999998</v>
      </c>
      <c r="E102" s="27">
        <v>9066906.6099999994</v>
      </c>
      <c r="F102" s="210"/>
      <c r="G102" s="210"/>
      <c r="H102" s="210"/>
      <c r="I102" s="221"/>
      <c r="J102" s="123"/>
      <c r="K102" s="123"/>
      <c r="L102" s="123"/>
      <c r="M102" s="123"/>
      <c r="N102" s="115"/>
      <c r="O102" s="115"/>
      <c r="P102" s="115"/>
    </row>
    <row r="103" spans="1:16" s="3" customFormat="1" ht="26.4">
      <c r="A103" s="40" t="s">
        <v>106</v>
      </c>
      <c r="B103" s="38" t="s">
        <v>107</v>
      </c>
      <c r="C103" s="22">
        <v>788574100</v>
      </c>
      <c r="D103" s="26">
        <v>813691700</v>
      </c>
      <c r="E103" s="27">
        <v>820055300</v>
      </c>
      <c r="F103" s="210"/>
      <c r="G103" s="210"/>
      <c r="H103" s="210"/>
      <c r="I103" s="221"/>
      <c r="J103" s="123"/>
      <c r="K103" s="123"/>
      <c r="L103" s="123"/>
      <c r="M103" s="123"/>
      <c r="N103" s="115"/>
      <c r="O103" s="115"/>
      <c r="P103" s="115"/>
    </row>
    <row r="104" spans="1:16" s="3" customFormat="1" ht="52.8">
      <c r="A104" s="40" t="s">
        <v>108</v>
      </c>
      <c r="B104" s="38" t="s">
        <v>107</v>
      </c>
      <c r="C104" s="22">
        <v>47823614.560000002</v>
      </c>
      <c r="D104" s="26">
        <v>24617380.039999999</v>
      </c>
      <c r="E104" s="27">
        <v>24618021.949999999</v>
      </c>
      <c r="F104" s="210"/>
      <c r="G104" s="210"/>
      <c r="H104" s="210"/>
      <c r="I104" s="221"/>
      <c r="J104" s="123"/>
      <c r="K104" s="123"/>
      <c r="L104" s="123"/>
      <c r="M104" s="123"/>
      <c r="N104" s="115"/>
      <c r="O104" s="115"/>
      <c r="P104" s="115"/>
    </row>
    <row r="105" spans="1:16" s="3" customFormat="1">
      <c r="A105" s="40"/>
      <c r="B105" s="38"/>
      <c r="C105" s="22"/>
      <c r="D105" s="26"/>
      <c r="E105" s="27"/>
      <c r="F105" s="210"/>
      <c r="G105" s="210"/>
      <c r="H105" s="210"/>
      <c r="I105" s="221"/>
      <c r="J105" s="123"/>
      <c r="K105" s="123"/>
      <c r="L105" s="123"/>
      <c r="M105" s="123"/>
      <c r="N105" s="115"/>
      <c r="O105" s="115"/>
      <c r="P105" s="115"/>
    </row>
    <row r="106" spans="1:16" s="88" customFormat="1">
      <c r="A106" s="86" t="s">
        <v>109</v>
      </c>
      <c r="B106" s="90" t="s">
        <v>110</v>
      </c>
      <c r="C106" s="16">
        <v>1106701647.0599999</v>
      </c>
      <c r="D106" s="59">
        <v>6504919.0199999996</v>
      </c>
      <c r="E106" s="60">
        <v>87976549.569999993</v>
      </c>
      <c r="F106" s="212">
        <f>SUM(C107:C120)</f>
        <v>1106701647.0599999</v>
      </c>
      <c r="G106" s="212">
        <f t="shared" ref="G106:H106" si="7">SUM(D107:D120)</f>
        <v>6504919.0199999996</v>
      </c>
      <c r="H106" s="212">
        <f t="shared" si="7"/>
        <v>87976549.570000008</v>
      </c>
      <c r="I106" s="222"/>
      <c r="J106" s="125"/>
      <c r="K106" s="125"/>
      <c r="L106" s="125"/>
      <c r="M106" s="125"/>
      <c r="N106" s="117"/>
      <c r="O106" s="117"/>
      <c r="P106" s="117"/>
    </row>
    <row r="107" spans="1:16" s="88" customFormat="1" ht="79.2">
      <c r="A107" s="40" t="s">
        <v>135</v>
      </c>
      <c r="B107" s="38" t="s">
        <v>112</v>
      </c>
      <c r="C107" s="22">
        <v>4396968.58</v>
      </c>
      <c r="D107" s="26">
        <v>4396968.58</v>
      </c>
      <c r="E107" s="27">
        <v>5315495.72</v>
      </c>
      <c r="F107" s="212">
        <f>F106-C106</f>
        <v>0</v>
      </c>
      <c r="G107" s="212">
        <f t="shared" ref="G107:H107" si="8">G106-D106</f>
        <v>0</v>
      </c>
      <c r="H107" s="212">
        <f t="shared" si="8"/>
        <v>0</v>
      </c>
      <c r="I107" s="222"/>
      <c r="J107" s="125"/>
      <c r="K107" s="125"/>
      <c r="L107" s="125"/>
      <c r="M107" s="125"/>
      <c r="N107" s="117"/>
      <c r="O107" s="117"/>
      <c r="P107" s="117"/>
    </row>
    <row r="108" spans="1:16" ht="26.4">
      <c r="A108" s="40" t="s">
        <v>111</v>
      </c>
      <c r="B108" s="38" t="s">
        <v>112</v>
      </c>
      <c r="C108" s="22">
        <v>1595820.1</v>
      </c>
      <c r="D108" s="26">
        <v>1568044.12</v>
      </c>
      <c r="E108" s="27">
        <v>1568044.12</v>
      </c>
    </row>
    <row r="109" spans="1:16" ht="118.8">
      <c r="A109" s="40" t="s">
        <v>113</v>
      </c>
      <c r="B109" s="38" t="s">
        <v>112</v>
      </c>
      <c r="C109" s="22">
        <v>19631.310000000001</v>
      </c>
      <c r="D109" s="26">
        <v>0</v>
      </c>
      <c r="E109" s="27">
        <v>0</v>
      </c>
    </row>
    <row r="110" spans="1:16" ht="39.6">
      <c r="A110" s="40" t="s">
        <v>114</v>
      </c>
      <c r="B110" s="38" t="s">
        <v>112</v>
      </c>
      <c r="C110" s="22">
        <v>73120000</v>
      </c>
      <c r="D110" s="26">
        <v>0</v>
      </c>
      <c r="E110" s="27">
        <v>0</v>
      </c>
    </row>
    <row r="111" spans="1:16" ht="39.6">
      <c r="A111" s="40" t="s">
        <v>132</v>
      </c>
      <c r="B111" s="38" t="s">
        <v>112</v>
      </c>
      <c r="C111" s="22">
        <v>13629179</v>
      </c>
      <c r="D111" s="26"/>
      <c r="E111" s="27">
        <v>0</v>
      </c>
    </row>
    <row r="112" spans="1:16" ht="52.8">
      <c r="A112" s="40" t="s">
        <v>133</v>
      </c>
      <c r="B112" s="38" t="s">
        <v>112</v>
      </c>
      <c r="C112" s="22">
        <v>1383800</v>
      </c>
      <c r="D112" s="26"/>
      <c r="E112" s="27">
        <v>0</v>
      </c>
    </row>
    <row r="113" spans="1:16" ht="39.6">
      <c r="A113" s="40" t="s">
        <v>139</v>
      </c>
      <c r="B113" s="38" t="s">
        <v>112</v>
      </c>
      <c r="C113" s="22">
        <v>30575020.420000002</v>
      </c>
      <c r="D113" s="26"/>
      <c r="E113" s="27">
        <v>0</v>
      </c>
    </row>
    <row r="114" spans="1:16" ht="39.6">
      <c r="A114" s="40" t="s">
        <v>140</v>
      </c>
      <c r="B114" s="38" t="s">
        <v>112</v>
      </c>
      <c r="C114" s="22">
        <v>0</v>
      </c>
      <c r="D114" s="26"/>
      <c r="E114" s="27">
        <v>79557674.420000002</v>
      </c>
    </row>
    <row r="115" spans="1:16" ht="66">
      <c r="A115" s="40" t="s">
        <v>137</v>
      </c>
      <c r="B115" s="38" t="s">
        <v>112</v>
      </c>
      <c r="C115" s="22">
        <v>2774979.58</v>
      </c>
      <c r="D115" s="26"/>
      <c r="E115" s="27">
        <v>0</v>
      </c>
    </row>
    <row r="116" spans="1:16" ht="66">
      <c r="A116" s="40" t="s">
        <v>146</v>
      </c>
      <c r="B116" s="38" t="s">
        <v>112</v>
      </c>
      <c r="C116" s="22">
        <v>977300000</v>
      </c>
      <c r="D116" s="26"/>
      <c r="E116" s="27"/>
    </row>
    <row r="117" spans="1:16" ht="66">
      <c r="A117" s="40" t="s">
        <v>161</v>
      </c>
      <c r="B117" s="38" t="s">
        <v>112</v>
      </c>
      <c r="C117" s="22">
        <v>52000</v>
      </c>
      <c r="D117" s="26">
        <v>37564.14</v>
      </c>
      <c r="E117" s="27">
        <v>37564.14</v>
      </c>
    </row>
    <row r="118" spans="1:16" ht="132">
      <c r="A118" s="163" t="s">
        <v>171</v>
      </c>
      <c r="B118" s="38" t="s">
        <v>112</v>
      </c>
      <c r="C118" s="22">
        <v>696383.99</v>
      </c>
      <c r="D118" s="26"/>
      <c r="E118" s="27"/>
    </row>
    <row r="119" spans="1:16" ht="83.4" customHeight="1">
      <c r="A119" s="163" t="s">
        <v>173</v>
      </c>
      <c r="B119" s="38" t="s">
        <v>112</v>
      </c>
      <c r="C119" s="22">
        <v>737864.08</v>
      </c>
      <c r="D119" s="26">
        <v>502342.18</v>
      </c>
      <c r="E119" s="27">
        <v>1497771.17</v>
      </c>
    </row>
    <row r="120" spans="1:16" ht="52.8">
      <c r="A120" s="163" t="s">
        <v>169</v>
      </c>
      <c r="B120" s="38" t="s">
        <v>112</v>
      </c>
      <c r="C120" s="22">
        <v>420000</v>
      </c>
      <c r="D120" s="26"/>
      <c r="E120" s="27"/>
    </row>
    <row r="121" spans="1:16">
      <c r="A121" s="40"/>
      <c r="B121" s="38"/>
      <c r="C121" s="22"/>
      <c r="D121" s="26"/>
      <c r="E121" s="27"/>
    </row>
    <row r="122" spans="1:16" s="92" customFormat="1">
      <c r="A122" s="170" t="s">
        <v>115</v>
      </c>
      <c r="B122" s="87" t="s">
        <v>116</v>
      </c>
      <c r="C122" s="16">
        <v>142576506.78999999</v>
      </c>
      <c r="D122" s="59">
        <v>137396000</v>
      </c>
      <c r="E122" s="60">
        <v>137396000</v>
      </c>
      <c r="F122" s="213">
        <f>SUM(C123:C124)</f>
        <v>142576506.78999999</v>
      </c>
      <c r="G122" s="213">
        <f t="shared" ref="G122:H122" si="9">SUM(D123:D124)</f>
        <v>137396000</v>
      </c>
      <c r="H122" s="213">
        <f t="shared" si="9"/>
        <v>137396000</v>
      </c>
      <c r="I122" s="223"/>
      <c r="J122" s="126"/>
      <c r="K122" s="126"/>
      <c r="L122" s="126"/>
      <c r="M122" s="126"/>
      <c r="N122" s="118"/>
      <c r="O122" s="118"/>
      <c r="P122" s="118"/>
    </row>
    <row r="123" spans="1:16" s="49" customFormat="1" ht="26.4">
      <c r="A123" s="171" t="s">
        <v>117</v>
      </c>
      <c r="B123" s="48" t="s">
        <v>118</v>
      </c>
      <c r="C123" s="22">
        <v>5180506.79</v>
      </c>
      <c r="D123" s="26">
        <v>0</v>
      </c>
      <c r="E123" s="27">
        <v>0</v>
      </c>
      <c r="F123" s="207">
        <f>F122-C122</f>
        <v>0</v>
      </c>
      <c r="G123" s="207">
        <f t="shared" ref="G123:H123" si="10">G122-D122</f>
        <v>0</v>
      </c>
      <c r="H123" s="207">
        <f t="shared" si="10"/>
        <v>0</v>
      </c>
      <c r="I123" s="207"/>
      <c r="J123" s="127"/>
      <c r="K123" s="127"/>
      <c r="L123" s="127"/>
      <c r="M123" s="127"/>
      <c r="N123" s="119"/>
      <c r="O123" s="119"/>
      <c r="P123" s="119"/>
    </row>
    <row r="124" spans="1:16" ht="52.8">
      <c r="A124" s="171" t="s">
        <v>148</v>
      </c>
      <c r="B124" s="51" t="s">
        <v>118</v>
      </c>
      <c r="C124" s="52">
        <v>137396000</v>
      </c>
      <c r="D124" s="73">
        <v>137396000</v>
      </c>
      <c r="E124" s="74">
        <v>137396000</v>
      </c>
    </row>
    <row r="125" spans="1:16">
      <c r="A125" s="163"/>
      <c r="B125" s="54"/>
      <c r="C125" s="55"/>
      <c r="D125" s="75"/>
      <c r="E125" s="76"/>
    </row>
    <row r="126" spans="1:16">
      <c r="A126" s="53" t="s">
        <v>119</v>
      </c>
      <c r="B126" s="172"/>
      <c r="C126" s="181">
        <v>3531344318.8200002</v>
      </c>
      <c r="D126" s="181">
        <v>2429647576.6500001</v>
      </c>
      <c r="E126" s="181">
        <v>2570121604</v>
      </c>
      <c r="F126" s="207">
        <f>F59+C19</f>
        <v>3531344318.8199997</v>
      </c>
      <c r="G126" s="207">
        <f t="shared" ref="G126:H126" si="11">G59+D19</f>
        <v>2429647576.6500001</v>
      </c>
      <c r="H126" s="207">
        <f t="shared" si="11"/>
        <v>2570121604</v>
      </c>
    </row>
    <row r="127" spans="1:16">
      <c r="C127" s="128"/>
      <c r="D127" s="128"/>
      <c r="E127" s="128"/>
      <c r="F127" s="214">
        <f>F126-C126</f>
        <v>0</v>
      </c>
      <c r="G127" s="214">
        <f t="shared" ref="G127:H127" si="12">G126-D126</f>
        <v>0</v>
      </c>
      <c r="H127" s="214">
        <f t="shared" si="12"/>
        <v>0</v>
      </c>
      <c r="I127" s="224"/>
    </row>
    <row r="128" spans="1:16">
      <c r="C128" s="128"/>
      <c r="D128" s="128"/>
      <c r="E128" s="128"/>
      <c r="F128" s="215"/>
      <c r="G128" s="215"/>
      <c r="H128" s="215"/>
      <c r="I128" s="224"/>
    </row>
    <row r="129" spans="3:9">
      <c r="C129" s="128"/>
      <c r="D129" s="128"/>
      <c r="E129" s="128"/>
      <c r="F129" s="215"/>
      <c r="G129" s="215"/>
      <c r="H129" s="215"/>
      <c r="I129" s="224"/>
    </row>
    <row r="130" spans="3:9">
      <c r="C130" s="58"/>
    </row>
  </sheetData>
  <mergeCells count="14">
    <mergeCell ref="C8:E8"/>
    <mergeCell ref="A16:A17"/>
    <mergeCell ref="B16:B17"/>
    <mergeCell ref="C16:E16"/>
    <mergeCell ref="D10:E10"/>
    <mergeCell ref="C11:E11"/>
    <mergeCell ref="D13:E13"/>
    <mergeCell ref="C14:E14"/>
    <mergeCell ref="A15:E15"/>
    <mergeCell ref="D1:E1"/>
    <mergeCell ref="C2:E2"/>
    <mergeCell ref="D4:E4"/>
    <mergeCell ref="C5:E5"/>
    <mergeCell ref="D7:E7"/>
  </mergeCells>
  <pageMargins left="0.70866141732283472" right="0.19685039370078741" top="0.61" bottom="0.47244094488188981" header="0.38" footer="0.31496062992125984"/>
  <pageSetup paperSize="9" scale="8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Доходы на 2024 г.</vt:lpstr>
      <vt:lpstr>ПЗ</vt:lpstr>
      <vt:lpstr>_Приложение</vt:lpstr>
      <vt:lpstr>Приложение</vt:lpstr>
      <vt:lpstr>СД</vt:lpstr>
      <vt:lpstr>_Приложение!Заголовки_для_печати</vt:lpstr>
      <vt:lpstr>'Доходы на 2024 г.'!Заголовки_для_печати</vt:lpstr>
      <vt:lpstr>ПЗ!Заголовки_для_печати</vt:lpstr>
      <vt:lpstr>Приложение!Заголовки_для_печати</vt:lpstr>
      <vt:lpstr>СД!Заголовки_для_печати</vt:lpstr>
      <vt:lpstr>_Приложение!Область_печати</vt:lpstr>
      <vt:lpstr>'Доходы на 2024 г.'!Область_печати</vt:lpstr>
      <vt:lpstr>ПЗ!Область_печати</vt:lpstr>
      <vt:lpstr>Приложение!Область_печати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cp:lastPrinted>2024-05-15T08:59:38Z</cp:lastPrinted>
  <dcterms:created xsi:type="dcterms:W3CDTF">2023-10-20T08:31:37Z</dcterms:created>
  <dcterms:modified xsi:type="dcterms:W3CDTF">2024-05-15T09:00:36Z</dcterms:modified>
</cp:coreProperties>
</file>